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ml.chartshapes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dawas\mysync\Userprofile\Desktop\"/>
    </mc:Choice>
  </mc:AlternateContent>
  <bookViews>
    <workbookView xWindow="0" yWindow="0" windowWidth="28800" windowHeight="12444" tabRatio="461" activeTab="1"/>
  </bookViews>
  <sheets>
    <sheet name="Mode d'emploi" sheetId="13" r:id="rId1"/>
    <sheet name="Hypothèses et Graphiques" sheetId="1" r:id="rId2"/>
    <sheet name="Résultats et Indicateurs" sheetId="14" r:id="rId3"/>
    <sheet name="Population" sheetId="2" r:id="rId4"/>
    <sheet name="Fécondité" sheetId="3" r:id="rId5"/>
    <sheet name="Mortalité" sheetId="4" r:id="rId6"/>
    <sheet name="Migration" sheetId="5" r:id="rId7"/>
    <sheet name="Liste Taux Fécondité" sheetId="6" r:id="rId8"/>
    <sheet name="Liste quot persp Mortalité Hom" sheetId="7" r:id="rId9"/>
    <sheet name="Liste quot persp Mortalité Fem" sheetId="8" r:id="rId10"/>
    <sheet name="Liste solde migratoire Hom" sheetId="9" r:id="rId11"/>
    <sheet name="Liste solde migratoire Fem" sheetId="10" r:id="rId12"/>
    <sheet name="Graphique Evolution et Pyramide" sheetId="11" r:id="rId13"/>
    <sheet name="Graphique Indicateurs" sheetId="12" r:id="rId14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21" i="12" l="1"/>
  <c r="B20" i="12"/>
  <c r="B19" i="12"/>
  <c r="B18" i="12"/>
  <c r="B17" i="12"/>
  <c r="B16" i="12"/>
  <c r="B15" i="12"/>
  <c r="B14" i="12"/>
  <c r="B13" i="12"/>
  <c r="B12" i="12"/>
  <c r="B11" i="12"/>
  <c r="B10" i="12"/>
  <c r="B9" i="12"/>
  <c r="B8" i="12"/>
  <c r="B7" i="12"/>
  <c r="B6" i="12"/>
  <c r="B5" i="12"/>
  <c r="F88" i="11" l="1"/>
  <c r="G88" i="11"/>
  <c r="H88" i="11"/>
  <c r="I88" i="11"/>
  <c r="J88" i="11"/>
  <c r="K88" i="11"/>
  <c r="L88" i="11"/>
  <c r="M88" i="11"/>
  <c r="N88" i="11"/>
  <c r="O88" i="11"/>
  <c r="P88" i="11"/>
  <c r="Q88" i="11"/>
  <c r="R88" i="11"/>
  <c r="S88" i="11"/>
  <c r="T88" i="11"/>
  <c r="U88" i="11"/>
  <c r="V88" i="11"/>
  <c r="E88" i="11"/>
  <c r="B65" i="14" l="1"/>
  <c r="G65" i="14" s="1"/>
  <c r="B64" i="14"/>
  <c r="B63" i="14"/>
  <c r="E63" i="14" s="1"/>
  <c r="B62" i="14"/>
  <c r="F62" i="14" s="1"/>
  <c r="B61" i="14"/>
  <c r="G61" i="14" s="1"/>
  <c r="B60" i="14"/>
  <c r="B59" i="14"/>
  <c r="E59" i="14" s="1"/>
  <c r="B58" i="14"/>
  <c r="F58" i="14" s="1"/>
  <c r="B57" i="14"/>
  <c r="G57" i="14" s="1"/>
  <c r="B56" i="14"/>
  <c r="B55" i="14"/>
  <c r="E55" i="14" s="1"/>
  <c r="B54" i="14"/>
  <c r="F54" i="14" s="1"/>
  <c r="B53" i="14"/>
  <c r="G53" i="14" s="1"/>
  <c r="B52" i="14"/>
  <c r="B51" i="14"/>
  <c r="B50" i="14"/>
  <c r="B49" i="14"/>
  <c r="E43" i="14"/>
  <c r="D43" i="14"/>
  <c r="C43" i="14"/>
  <c r="B43" i="14"/>
  <c r="E42" i="14"/>
  <c r="D42" i="14"/>
  <c r="C42" i="14"/>
  <c r="B42" i="14"/>
  <c r="E41" i="14"/>
  <c r="D41" i="14"/>
  <c r="C41" i="14"/>
  <c r="B41" i="14"/>
  <c r="E40" i="14"/>
  <c r="D40" i="14"/>
  <c r="C40" i="14"/>
  <c r="B40" i="14"/>
  <c r="E39" i="14"/>
  <c r="D39" i="14"/>
  <c r="C39" i="14"/>
  <c r="B39" i="14"/>
  <c r="E38" i="14"/>
  <c r="D38" i="14"/>
  <c r="C38" i="14"/>
  <c r="B38" i="14"/>
  <c r="E37" i="14"/>
  <c r="D37" i="14"/>
  <c r="C37" i="14"/>
  <c r="B37" i="14"/>
  <c r="E36" i="14"/>
  <c r="D36" i="14"/>
  <c r="C36" i="14"/>
  <c r="B36" i="14"/>
  <c r="E35" i="14"/>
  <c r="D35" i="14"/>
  <c r="C35" i="14"/>
  <c r="B35" i="14"/>
  <c r="E34" i="14"/>
  <c r="D34" i="14"/>
  <c r="C34" i="14"/>
  <c r="B34" i="14"/>
  <c r="E33" i="14"/>
  <c r="D33" i="14"/>
  <c r="C33" i="14"/>
  <c r="B33" i="14"/>
  <c r="E32" i="14"/>
  <c r="D32" i="14"/>
  <c r="C32" i="14"/>
  <c r="B32" i="14"/>
  <c r="B31" i="14"/>
  <c r="B30" i="14"/>
  <c r="B29" i="14"/>
  <c r="B28" i="14"/>
  <c r="B27" i="14"/>
  <c r="C26" i="14"/>
  <c r="G21" i="14"/>
  <c r="F21" i="14"/>
  <c r="E21" i="14"/>
  <c r="D21" i="14"/>
  <c r="C21" i="14"/>
  <c r="B21" i="14"/>
  <c r="G20" i="14"/>
  <c r="F20" i="14"/>
  <c r="E20" i="14"/>
  <c r="D20" i="14"/>
  <c r="C20" i="14"/>
  <c r="B20" i="14"/>
  <c r="G19" i="14"/>
  <c r="F19" i="14"/>
  <c r="E19" i="14"/>
  <c r="D19" i="14"/>
  <c r="C19" i="14"/>
  <c r="B19" i="14"/>
  <c r="G18" i="14"/>
  <c r="F18" i="14"/>
  <c r="E18" i="14"/>
  <c r="D18" i="14"/>
  <c r="C18" i="14"/>
  <c r="B18" i="14"/>
  <c r="G17" i="14"/>
  <c r="F17" i="14"/>
  <c r="E17" i="14"/>
  <c r="D17" i="14"/>
  <c r="C17" i="14"/>
  <c r="B17" i="14"/>
  <c r="G16" i="14"/>
  <c r="F16" i="14"/>
  <c r="E16" i="14"/>
  <c r="D16" i="14"/>
  <c r="C16" i="14"/>
  <c r="B16" i="14"/>
  <c r="G15" i="14"/>
  <c r="F15" i="14"/>
  <c r="E15" i="14"/>
  <c r="D15" i="14"/>
  <c r="C15" i="14"/>
  <c r="B15" i="14"/>
  <c r="G14" i="14"/>
  <c r="F14" i="14"/>
  <c r="E14" i="14"/>
  <c r="D14" i="14"/>
  <c r="C14" i="14"/>
  <c r="B14" i="14"/>
  <c r="G13" i="14"/>
  <c r="F13" i="14"/>
  <c r="E13" i="14"/>
  <c r="D13" i="14"/>
  <c r="C13" i="14"/>
  <c r="B13" i="14"/>
  <c r="G12" i="14"/>
  <c r="F12" i="14"/>
  <c r="E12" i="14"/>
  <c r="D12" i="14"/>
  <c r="C12" i="14"/>
  <c r="B12" i="14"/>
  <c r="G11" i="14"/>
  <c r="F11" i="14"/>
  <c r="E11" i="14"/>
  <c r="D11" i="14"/>
  <c r="C11" i="14"/>
  <c r="B11" i="14"/>
  <c r="G10" i="14"/>
  <c r="F10" i="14"/>
  <c r="E10" i="14"/>
  <c r="D10" i="14"/>
  <c r="C10" i="14"/>
  <c r="B10" i="14"/>
  <c r="G9" i="14"/>
  <c r="F9" i="14"/>
  <c r="D9" i="14"/>
  <c r="B9" i="14"/>
  <c r="G8" i="14"/>
  <c r="C30" i="14" s="1"/>
  <c r="F8" i="14"/>
  <c r="E30" i="14" s="1"/>
  <c r="D8" i="14"/>
  <c r="C8" i="14"/>
  <c r="E8" i="14" s="1"/>
  <c r="D30" i="14" s="1"/>
  <c r="B8" i="14"/>
  <c r="F7" i="14"/>
  <c r="B7" i="14"/>
  <c r="F6" i="14"/>
  <c r="B6" i="14"/>
  <c r="F5" i="14"/>
  <c r="E27" i="14" s="1"/>
  <c r="C5" i="14"/>
  <c r="B5" i="14"/>
  <c r="F4" i="14"/>
  <c r="E26" i="14" s="1"/>
  <c r="E4" i="14"/>
  <c r="D4" i="14"/>
  <c r="D26" i="14" s="1"/>
  <c r="G82" i="2"/>
  <c r="H82" i="2"/>
  <c r="I82" i="2"/>
  <c r="J82" i="2"/>
  <c r="K82" i="2"/>
  <c r="L82" i="2"/>
  <c r="M82" i="2"/>
  <c r="N82" i="2"/>
  <c r="O82" i="2"/>
  <c r="P82" i="2"/>
  <c r="Q82" i="2"/>
  <c r="R82" i="2"/>
  <c r="S82" i="2"/>
  <c r="T82" i="2"/>
  <c r="G83" i="2"/>
  <c r="H83" i="2"/>
  <c r="I83" i="2"/>
  <c r="J83" i="2"/>
  <c r="K83" i="2"/>
  <c r="L83" i="2"/>
  <c r="M83" i="2"/>
  <c r="N83" i="2"/>
  <c r="O83" i="2"/>
  <c r="P83" i="2"/>
  <c r="Q83" i="2"/>
  <c r="R83" i="2"/>
  <c r="S83" i="2"/>
  <c r="T83" i="2"/>
  <c r="G84" i="2"/>
  <c r="H84" i="2"/>
  <c r="I84" i="2"/>
  <c r="J84" i="2"/>
  <c r="K84" i="2"/>
  <c r="L84" i="2"/>
  <c r="M84" i="2"/>
  <c r="N84" i="2"/>
  <c r="O84" i="2"/>
  <c r="P84" i="2"/>
  <c r="Q84" i="2"/>
  <c r="R84" i="2"/>
  <c r="S84" i="2"/>
  <c r="T84" i="2"/>
  <c r="G85" i="2"/>
  <c r="H85" i="2"/>
  <c r="I85" i="2"/>
  <c r="J85" i="2"/>
  <c r="K85" i="2"/>
  <c r="L85" i="2"/>
  <c r="M85" i="2"/>
  <c r="N85" i="2"/>
  <c r="O85" i="2"/>
  <c r="P85" i="2"/>
  <c r="Q85" i="2"/>
  <c r="R85" i="2"/>
  <c r="S85" i="2"/>
  <c r="T85" i="2"/>
  <c r="G86" i="2"/>
  <c r="H86" i="2"/>
  <c r="I86" i="2"/>
  <c r="J86" i="2"/>
  <c r="K86" i="2"/>
  <c r="L86" i="2"/>
  <c r="M86" i="2"/>
  <c r="N86" i="2"/>
  <c r="O86" i="2"/>
  <c r="P86" i="2"/>
  <c r="Q86" i="2"/>
  <c r="R86" i="2"/>
  <c r="S86" i="2"/>
  <c r="T86" i="2"/>
  <c r="G75" i="2"/>
  <c r="H75" i="2"/>
  <c r="I75" i="2"/>
  <c r="J75" i="2"/>
  <c r="K75" i="2"/>
  <c r="L75" i="2"/>
  <c r="M75" i="2"/>
  <c r="N75" i="2"/>
  <c r="O75" i="2"/>
  <c r="P75" i="2"/>
  <c r="Q75" i="2"/>
  <c r="R75" i="2"/>
  <c r="S75" i="2"/>
  <c r="T75" i="2"/>
  <c r="G76" i="2"/>
  <c r="H76" i="2"/>
  <c r="I76" i="2"/>
  <c r="J76" i="2"/>
  <c r="K76" i="2"/>
  <c r="L76" i="2"/>
  <c r="M76" i="2"/>
  <c r="N76" i="2"/>
  <c r="O76" i="2"/>
  <c r="P76" i="2"/>
  <c r="Q76" i="2"/>
  <c r="R76" i="2"/>
  <c r="S76" i="2"/>
  <c r="T76" i="2"/>
  <c r="G77" i="2"/>
  <c r="H77" i="2"/>
  <c r="I77" i="2"/>
  <c r="J77" i="2"/>
  <c r="K77" i="2"/>
  <c r="L77" i="2"/>
  <c r="M77" i="2"/>
  <c r="N77" i="2"/>
  <c r="O77" i="2"/>
  <c r="P77" i="2"/>
  <c r="Q77" i="2"/>
  <c r="R77" i="2"/>
  <c r="S77" i="2"/>
  <c r="T77" i="2"/>
  <c r="G78" i="2"/>
  <c r="H78" i="2"/>
  <c r="I78" i="2"/>
  <c r="J78" i="2"/>
  <c r="K78" i="2"/>
  <c r="L78" i="2"/>
  <c r="M78" i="2"/>
  <c r="N78" i="2"/>
  <c r="O78" i="2"/>
  <c r="P78" i="2"/>
  <c r="Q78" i="2"/>
  <c r="R78" i="2"/>
  <c r="S78" i="2"/>
  <c r="T78" i="2"/>
  <c r="G79" i="2"/>
  <c r="H79" i="2"/>
  <c r="I79" i="2"/>
  <c r="J79" i="2"/>
  <c r="K79" i="2"/>
  <c r="L79" i="2"/>
  <c r="M79" i="2"/>
  <c r="N79" i="2"/>
  <c r="O79" i="2"/>
  <c r="P79" i="2"/>
  <c r="Q79" i="2"/>
  <c r="R79" i="2"/>
  <c r="S79" i="2"/>
  <c r="T79" i="2"/>
  <c r="G73" i="2"/>
  <c r="H73" i="2"/>
  <c r="I73" i="2"/>
  <c r="J73" i="2"/>
  <c r="K73" i="2"/>
  <c r="L73" i="2"/>
  <c r="M73" i="2"/>
  <c r="N73" i="2"/>
  <c r="O73" i="2"/>
  <c r="P73" i="2"/>
  <c r="Q73" i="2"/>
  <c r="R73" i="2"/>
  <c r="S73" i="2"/>
  <c r="T73" i="2"/>
  <c r="C52" i="2"/>
  <c r="C53" i="2"/>
  <c r="C54" i="2"/>
  <c r="C55" i="2"/>
  <c r="C56" i="2"/>
  <c r="C57" i="2"/>
  <c r="C58" i="2"/>
  <c r="C59" i="2"/>
  <c r="C60" i="2"/>
  <c r="C61" i="2"/>
  <c r="C62" i="2"/>
  <c r="C63" i="2"/>
  <c r="C64" i="2"/>
  <c r="C65" i="2"/>
  <c r="C66" i="2"/>
  <c r="C67" i="2"/>
  <c r="C68" i="2"/>
  <c r="C69" i="2"/>
  <c r="C70" i="2"/>
  <c r="C71" i="2"/>
  <c r="C51" i="2"/>
  <c r="C76" i="2" l="1"/>
  <c r="C77" i="2"/>
  <c r="C79" i="2"/>
  <c r="C75" i="2"/>
  <c r="C73" i="2"/>
  <c r="C83" i="2" s="1"/>
  <c r="D48" i="14" s="1"/>
  <c r="C78" i="2"/>
  <c r="G58" i="14"/>
  <c r="F59" i="14"/>
  <c r="D53" i="14"/>
  <c r="G62" i="14"/>
  <c r="F55" i="14"/>
  <c r="F63" i="14"/>
  <c r="G54" i="14"/>
  <c r="C58" i="14"/>
  <c r="C62" i="14"/>
  <c r="F53" i="14"/>
  <c r="D57" i="14"/>
  <c r="C54" i="14"/>
  <c r="F57" i="14"/>
  <c r="D61" i="14"/>
  <c r="D65" i="14"/>
  <c r="D52" i="14"/>
  <c r="G52" i="14"/>
  <c r="C52" i="14"/>
  <c r="F52" i="14"/>
  <c r="D56" i="14"/>
  <c r="G56" i="14"/>
  <c r="C56" i="14"/>
  <c r="F56" i="14"/>
  <c r="D60" i="14"/>
  <c r="G60" i="14"/>
  <c r="C60" i="14"/>
  <c r="F60" i="14"/>
  <c r="D64" i="14"/>
  <c r="G64" i="14"/>
  <c r="C64" i="14"/>
  <c r="F64" i="14"/>
  <c r="E52" i="14"/>
  <c r="E60" i="14"/>
  <c r="E64" i="14"/>
  <c r="E56" i="14"/>
  <c r="E53" i="14"/>
  <c r="D54" i="14"/>
  <c r="C55" i="14"/>
  <c r="G55" i="14"/>
  <c r="E57" i="14"/>
  <c r="D58" i="14"/>
  <c r="C59" i="14"/>
  <c r="G59" i="14"/>
  <c r="E61" i="14"/>
  <c r="D62" i="14"/>
  <c r="C63" i="14"/>
  <c r="G63" i="14"/>
  <c r="E65" i="14"/>
  <c r="E54" i="14"/>
  <c r="D55" i="14"/>
  <c r="E58" i="14"/>
  <c r="D59" i="14"/>
  <c r="F61" i="14"/>
  <c r="E62" i="14"/>
  <c r="D63" i="14"/>
  <c r="F65" i="14"/>
  <c r="C53" i="14"/>
  <c r="C57" i="14"/>
  <c r="C61" i="14"/>
  <c r="C65" i="14"/>
  <c r="C9" i="14"/>
  <c r="G51" i="11"/>
  <c r="I51" i="11"/>
  <c r="J51" i="11"/>
  <c r="K51" i="11"/>
  <c r="L51" i="11"/>
  <c r="M51" i="11"/>
  <c r="N51" i="11"/>
  <c r="O51" i="11"/>
  <c r="P51" i="11"/>
  <c r="Q51" i="11"/>
  <c r="R51" i="11"/>
  <c r="S51" i="11"/>
  <c r="T51" i="11"/>
  <c r="U51" i="11"/>
  <c r="V51" i="11"/>
  <c r="G52" i="11"/>
  <c r="I52" i="11"/>
  <c r="J52" i="11"/>
  <c r="K52" i="11"/>
  <c r="L52" i="11"/>
  <c r="M52" i="11"/>
  <c r="N52" i="11"/>
  <c r="O52" i="11"/>
  <c r="P52" i="11"/>
  <c r="Q52" i="11"/>
  <c r="R52" i="11"/>
  <c r="S52" i="11"/>
  <c r="T52" i="11"/>
  <c r="U52" i="11"/>
  <c r="V52" i="11"/>
  <c r="I53" i="11"/>
  <c r="J53" i="11"/>
  <c r="K53" i="11"/>
  <c r="L53" i="11"/>
  <c r="M53" i="11"/>
  <c r="N53" i="11"/>
  <c r="O53" i="11"/>
  <c r="P53" i="11"/>
  <c r="Q53" i="11"/>
  <c r="R53" i="11"/>
  <c r="S53" i="11"/>
  <c r="T53" i="11"/>
  <c r="U53" i="11"/>
  <c r="V53" i="11"/>
  <c r="G54" i="11"/>
  <c r="I54" i="11"/>
  <c r="J54" i="11"/>
  <c r="K54" i="11"/>
  <c r="L54" i="11"/>
  <c r="M54" i="11"/>
  <c r="N54" i="11"/>
  <c r="O54" i="11"/>
  <c r="P54" i="11"/>
  <c r="Q54" i="11"/>
  <c r="R54" i="11"/>
  <c r="S54" i="11"/>
  <c r="T54" i="11"/>
  <c r="U54" i="11"/>
  <c r="V54" i="11"/>
  <c r="G55" i="11"/>
  <c r="I55" i="11"/>
  <c r="J55" i="11"/>
  <c r="K55" i="11"/>
  <c r="L55" i="11"/>
  <c r="M55" i="11"/>
  <c r="N55" i="11"/>
  <c r="O55" i="11"/>
  <c r="P55" i="11"/>
  <c r="Q55" i="11"/>
  <c r="R55" i="11"/>
  <c r="S55" i="11"/>
  <c r="T55" i="11"/>
  <c r="U55" i="11"/>
  <c r="V55" i="11"/>
  <c r="G56" i="11"/>
  <c r="I56" i="11"/>
  <c r="J56" i="11"/>
  <c r="K56" i="11"/>
  <c r="L56" i="11"/>
  <c r="M56" i="11"/>
  <c r="N56" i="11"/>
  <c r="O56" i="11"/>
  <c r="P56" i="11"/>
  <c r="Q56" i="11"/>
  <c r="R56" i="11"/>
  <c r="S56" i="11"/>
  <c r="T56" i="11"/>
  <c r="U56" i="11"/>
  <c r="V56" i="11"/>
  <c r="I57" i="11"/>
  <c r="J57" i="11"/>
  <c r="K57" i="11"/>
  <c r="L57" i="11"/>
  <c r="M57" i="11"/>
  <c r="N57" i="11"/>
  <c r="O57" i="11"/>
  <c r="P57" i="11"/>
  <c r="Q57" i="11"/>
  <c r="R57" i="11"/>
  <c r="S57" i="11"/>
  <c r="T57" i="11"/>
  <c r="U57" i="11"/>
  <c r="V57" i="11"/>
  <c r="G58" i="11"/>
  <c r="I58" i="11"/>
  <c r="J58" i="11"/>
  <c r="K58" i="11"/>
  <c r="L58" i="11"/>
  <c r="M58" i="11"/>
  <c r="N58" i="11"/>
  <c r="O58" i="11"/>
  <c r="P58" i="11"/>
  <c r="Q58" i="11"/>
  <c r="R58" i="11"/>
  <c r="S58" i="11"/>
  <c r="T58" i="11"/>
  <c r="U58" i="11"/>
  <c r="V58" i="11"/>
  <c r="G59" i="11"/>
  <c r="I59" i="11"/>
  <c r="J59" i="11"/>
  <c r="K59" i="11"/>
  <c r="L59" i="11"/>
  <c r="M59" i="11"/>
  <c r="N59" i="11"/>
  <c r="O59" i="11"/>
  <c r="P59" i="11"/>
  <c r="Q59" i="11"/>
  <c r="R59" i="11"/>
  <c r="S59" i="11"/>
  <c r="T59" i="11"/>
  <c r="U59" i="11"/>
  <c r="V59" i="11"/>
  <c r="G60" i="11"/>
  <c r="I60" i="11"/>
  <c r="J60" i="11"/>
  <c r="K60" i="11"/>
  <c r="L60" i="11"/>
  <c r="M60" i="11"/>
  <c r="N60" i="11"/>
  <c r="O60" i="11"/>
  <c r="P60" i="11"/>
  <c r="Q60" i="11"/>
  <c r="R60" i="11"/>
  <c r="S60" i="11"/>
  <c r="T60" i="11"/>
  <c r="U60" i="11"/>
  <c r="V60" i="11"/>
  <c r="I61" i="11"/>
  <c r="J61" i="11"/>
  <c r="K61" i="11"/>
  <c r="L61" i="11"/>
  <c r="M61" i="11"/>
  <c r="N61" i="11"/>
  <c r="O61" i="11"/>
  <c r="P61" i="11"/>
  <c r="Q61" i="11"/>
  <c r="R61" i="11"/>
  <c r="S61" i="11"/>
  <c r="T61" i="11"/>
  <c r="U61" i="11"/>
  <c r="V61" i="11"/>
  <c r="G62" i="11"/>
  <c r="I62" i="11"/>
  <c r="J62" i="11"/>
  <c r="K62" i="11"/>
  <c r="L62" i="11"/>
  <c r="M62" i="11"/>
  <c r="N62" i="11"/>
  <c r="O62" i="11"/>
  <c r="P62" i="11"/>
  <c r="Q62" i="11"/>
  <c r="R62" i="11"/>
  <c r="S62" i="11"/>
  <c r="T62" i="11"/>
  <c r="U62" i="11"/>
  <c r="V62" i="11"/>
  <c r="G63" i="11"/>
  <c r="I63" i="11"/>
  <c r="J63" i="11"/>
  <c r="K63" i="11"/>
  <c r="L63" i="11"/>
  <c r="M63" i="11"/>
  <c r="N63" i="11"/>
  <c r="O63" i="11"/>
  <c r="P63" i="11"/>
  <c r="Q63" i="11"/>
  <c r="R63" i="11"/>
  <c r="S63" i="11"/>
  <c r="T63" i="11"/>
  <c r="U63" i="11"/>
  <c r="V63" i="11"/>
  <c r="G64" i="11"/>
  <c r="I64" i="11"/>
  <c r="J64" i="11"/>
  <c r="K64" i="11"/>
  <c r="L64" i="11"/>
  <c r="M64" i="11"/>
  <c r="N64" i="11"/>
  <c r="O64" i="11"/>
  <c r="P64" i="11"/>
  <c r="Q64" i="11"/>
  <c r="R64" i="11"/>
  <c r="S64" i="11"/>
  <c r="T64" i="11"/>
  <c r="U64" i="11"/>
  <c r="V64" i="11"/>
  <c r="I65" i="11"/>
  <c r="J65" i="11"/>
  <c r="K65" i="11"/>
  <c r="L65" i="11"/>
  <c r="M65" i="11"/>
  <c r="N65" i="11"/>
  <c r="O65" i="11"/>
  <c r="P65" i="11"/>
  <c r="Q65" i="11"/>
  <c r="R65" i="11"/>
  <c r="S65" i="11"/>
  <c r="T65" i="11"/>
  <c r="U65" i="11"/>
  <c r="V65" i="11"/>
  <c r="G66" i="11"/>
  <c r="I66" i="11"/>
  <c r="J66" i="11"/>
  <c r="K66" i="11"/>
  <c r="L66" i="11"/>
  <c r="M66" i="11"/>
  <c r="N66" i="11"/>
  <c r="O66" i="11"/>
  <c r="P66" i="11"/>
  <c r="Q66" i="11"/>
  <c r="R66" i="11"/>
  <c r="S66" i="11"/>
  <c r="T66" i="11"/>
  <c r="U66" i="11"/>
  <c r="V66" i="11"/>
  <c r="G67" i="11"/>
  <c r="I67" i="11"/>
  <c r="J67" i="11"/>
  <c r="K67" i="11"/>
  <c r="L67" i="11"/>
  <c r="M67" i="11"/>
  <c r="N67" i="11"/>
  <c r="O67" i="11"/>
  <c r="P67" i="11"/>
  <c r="Q67" i="11"/>
  <c r="R67" i="11"/>
  <c r="S67" i="11"/>
  <c r="T67" i="11"/>
  <c r="U67" i="11"/>
  <c r="V67" i="11"/>
  <c r="G68" i="11"/>
  <c r="I68" i="11"/>
  <c r="J68" i="11"/>
  <c r="K68" i="11"/>
  <c r="L68" i="11"/>
  <c r="M68" i="11"/>
  <c r="N68" i="11"/>
  <c r="O68" i="11"/>
  <c r="P68" i="11"/>
  <c r="Q68" i="11"/>
  <c r="R68" i="11"/>
  <c r="S68" i="11"/>
  <c r="T68" i="11"/>
  <c r="U68" i="11"/>
  <c r="V68" i="11"/>
  <c r="I69" i="11"/>
  <c r="J69" i="11"/>
  <c r="K69" i="11"/>
  <c r="L69" i="11"/>
  <c r="M69" i="11"/>
  <c r="N69" i="11"/>
  <c r="O69" i="11"/>
  <c r="P69" i="11"/>
  <c r="Q69" i="11"/>
  <c r="R69" i="11"/>
  <c r="S69" i="11"/>
  <c r="T69" i="11"/>
  <c r="U69" i="11"/>
  <c r="V69" i="11"/>
  <c r="G70" i="11"/>
  <c r="I70" i="11"/>
  <c r="J70" i="11"/>
  <c r="K70" i="11"/>
  <c r="L70" i="11"/>
  <c r="M70" i="11"/>
  <c r="N70" i="11"/>
  <c r="O70" i="11"/>
  <c r="P70" i="11"/>
  <c r="Q70" i="11"/>
  <c r="R70" i="11"/>
  <c r="S70" i="11"/>
  <c r="T70" i="11"/>
  <c r="U70" i="11"/>
  <c r="V70" i="11"/>
  <c r="G71" i="11"/>
  <c r="I71" i="11"/>
  <c r="J71" i="11"/>
  <c r="K71" i="11"/>
  <c r="L71" i="11"/>
  <c r="M71" i="11"/>
  <c r="N71" i="11"/>
  <c r="O71" i="11"/>
  <c r="P71" i="11"/>
  <c r="Q71" i="11"/>
  <c r="R71" i="11"/>
  <c r="S71" i="11"/>
  <c r="T71" i="11"/>
  <c r="U71" i="11"/>
  <c r="V71" i="11"/>
  <c r="F52" i="11"/>
  <c r="F56" i="11"/>
  <c r="F60" i="11"/>
  <c r="F64" i="11"/>
  <c r="F68" i="11"/>
  <c r="F51" i="11"/>
  <c r="G26" i="11"/>
  <c r="H26" i="11"/>
  <c r="I26" i="11"/>
  <c r="J26" i="11"/>
  <c r="K26" i="11"/>
  <c r="L26" i="11"/>
  <c r="M26" i="11"/>
  <c r="N26" i="11"/>
  <c r="O26" i="11"/>
  <c r="P26" i="11"/>
  <c r="Q26" i="11"/>
  <c r="R26" i="11"/>
  <c r="S26" i="11"/>
  <c r="T26" i="11"/>
  <c r="U26" i="11"/>
  <c r="V26" i="11"/>
  <c r="G27" i="11"/>
  <c r="H27" i="11"/>
  <c r="I27" i="11"/>
  <c r="J27" i="11"/>
  <c r="K27" i="11"/>
  <c r="L27" i="11"/>
  <c r="M27" i="11"/>
  <c r="N27" i="11"/>
  <c r="O27" i="11"/>
  <c r="P27" i="11"/>
  <c r="Q27" i="11"/>
  <c r="R27" i="11"/>
  <c r="S27" i="11"/>
  <c r="T27" i="11"/>
  <c r="U27" i="11"/>
  <c r="V27" i="11"/>
  <c r="G28" i="11"/>
  <c r="H28" i="11"/>
  <c r="I28" i="11"/>
  <c r="J28" i="11"/>
  <c r="K28" i="11"/>
  <c r="L28" i="11"/>
  <c r="M28" i="11"/>
  <c r="N28" i="11"/>
  <c r="O28" i="11"/>
  <c r="P28" i="11"/>
  <c r="Q28" i="11"/>
  <c r="R28" i="11"/>
  <c r="S28" i="11"/>
  <c r="T28" i="11"/>
  <c r="U28" i="11"/>
  <c r="V28" i="11"/>
  <c r="G29" i="11"/>
  <c r="H29" i="11"/>
  <c r="I29" i="11"/>
  <c r="J29" i="11"/>
  <c r="K29" i="11"/>
  <c r="L29" i="11"/>
  <c r="M29" i="11"/>
  <c r="N29" i="11"/>
  <c r="O29" i="11"/>
  <c r="P29" i="11"/>
  <c r="Q29" i="11"/>
  <c r="R29" i="11"/>
  <c r="S29" i="11"/>
  <c r="T29" i="11"/>
  <c r="U29" i="11"/>
  <c r="V29" i="11"/>
  <c r="G30" i="11"/>
  <c r="H30" i="11"/>
  <c r="I30" i="11"/>
  <c r="J30" i="11"/>
  <c r="K30" i="11"/>
  <c r="L30" i="11"/>
  <c r="M30" i="11"/>
  <c r="N30" i="11"/>
  <c r="O30" i="11"/>
  <c r="P30" i="11"/>
  <c r="Q30" i="11"/>
  <c r="R30" i="11"/>
  <c r="S30" i="11"/>
  <c r="T30" i="11"/>
  <c r="U30" i="11"/>
  <c r="V30" i="11"/>
  <c r="G31" i="11"/>
  <c r="H31" i="11"/>
  <c r="I31" i="11"/>
  <c r="J31" i="11"/>
  <c r="K31" i="11"/>
  <c r="L31" i="11"/>
  <c r="M31" i="11"/>
  <c r="N31" i="11"/>
  <c r="O31" i="11"/>
  <c r="P31" i="11"/>
  <c r="Q31" i="11"/>
  <c r="R31" i="11"/>
  <c r="S31" i="11"/>
  <c r="T31" i="11"/>
  <c r="U31" i="11"/>
  <c r="V31" i="11"/>
  <c r="G32" i="11"/>
  <c r="H32" i="11"/>
  <c r="I32" i="11"/>
  <c r="J32" i="11"/>
  <c r="K32" i="11"/>
  <c r="L32" i="11"/>
  <c r="M32" i="11"/>
  <c r="N32" i="11"/>
  <c r="O32" i="11"/>
  <c r="P32" i="11"/>
  <c r="Q32" i="11"/>
  <c r="R32" i="11"/>
  <c r="S32" i="11"/>
  <c r="T32" i="11"/>
  <c r="U32" i="11"/>
  <c r="V32" i="11"/>
  <c r="G33" i="11"/>
  <c r="H33" i="11"/>
  <c r="I33" i="11"/>
  <c r="J33" i="11"/>
  <c r="K33" i="11"/>
  <c r="L33" i="11"/>
  <c r="M33" i="11"/>
  <c r="N33" i="11"/>
  <c r="O33" i="11"/>
  <c r="P33" i="11"/>
  <c r="Q33" i="11"/>
  <c r="R33" i="11"/>
  <c r="S33" i="11"/>
  <c r="T33" i="11"/>
  <c r="U33" i="11"/>
  <c r="V33" i="11"/>
  <c r="G34" i="11"/>
  <c r="H34" i="11"/>
  <c r="I34" i="11"/>
  <c r="J34" i="11"/>
  <c r="K34" i="11"/>
  <c r="L34" i="11"/>
  <c r="M34" i="11"/>
  <c r="N34" i="11"/>
  <c r="O34" i="11"/>
  <c r="P34" i="11"/>
  <c r="Q34" i="11"/>
  <c r="R34" i="11"/>
  <c r="S34" i="11"/>
  <c r="T34" i="11"/>
  <c r="U34" i="11"/>
  <c r="V34" i="11"/>
  <c r="G35" i="11"/>
  <c r="H35" i="11"/>
  <c r="I35" i="11"/>
  <c r="J35" i="11"/>
  <c r="K35" i="11"/>
  <c r="L35" i="11"/>
  <c r="M35" i="11"/>
  <c r="N35" i="11"/>
  <c r="O35" i="11"/>
  <c r="P35" i="11"/>
  <c r="Q35" i="11"/>
  <c r="R35" i="11"/>
  <c r="S35" i="11"/>
  <c r="T35" i="11"/>
  <c r="U35" i="11"/>
  <c r="V35" i="11"/>
  <c r="G36" i="11"/>
  <c r="H36" i="11"/>
  <c r="I36" i="11"/>
  <c r="J36" i="11"/>
  <c r="K36" i="11"/>
  <c r="L36" i="11"/>
  <c r="M36" i="11"/>
  <c r="N36" i="11"/>
  <c r="O36" i="11"/>
  <c r="P36" i="11"/>
  <c r="Q36" i="11"/>
  <c r="R36" i="11"/>
  <c r="S36" i="11"/>
  <c r="T36" i="11"/>
  <c r="U36" i="11"/>
  <c r="V36" i="11"/>
  <c r="G37" i="11"/>
  <c r="H37" i="11"/>
  <c r="I37" i="11"/>
  <c r="J37" i="11"/>
  <c r="K37" i="11"/>
  <c r="L37" i="11"/>
  <c r="M37" i="11"/>
  <c r="N37" i="11"/>
  <c r="O37" i="11"/>
  <c r="P37" i="11"/>
  <c r="Q37" i="11"/>
  <c r="R37" i="11"/>
  <c r="S37" i="11"/>
  <c r="T37" i="11"/>
  <c r="U37" i="11"/>
  <c r="V37" i="11"/>
  <c r="G38" i="11"/>
  <c r="H38" i="11"/>
  <c r="I38" i="11"/>
  <c r="J38" i="11"/>
  <c r="K38" i="11"/>
  <c r="L38" i="11"/>
  <c r="M38" i="11"/>
  <c r="N38" i="11"/>
  <c r="O38" i="11"/>
  <c r="P38" i="11"/>
  <c r="Q38" i="11"/>
  <c r="R38" i="11"/>
  <c r="S38" i="11"/>
  <c r="T38" i="11"/>
  <c r="U38" i="11"/>
  <c r="V38" i="11"/>
  <c r="G39" i="11"/>
  <c r="H39" i="11"/>
  <c r="I39" i="11"/>
  <c r="J39" i="11"/>
  <c r="K39" i="11"/>
  <c r="L39" i="11"/>
  <c r="M39" i="11"/>
  <c r="N39" i="11"/>
  <c r="O39" i="11"/>
  <c r="P39" i="11"/>
  <c r="Q39" i="11"/>
  <c r="R39" i="11"/>
  <c r="S39" i="11"/>
  <c r="T39" i="11"/>
  <c r="U39" i="11"/>
  <c r="V39" i="11"/>
  <c r="G40" i="11"/>
  <c r="H40" i="11"/>
  <c r="I40" i="11"/>
  <c r="J40" i="11"/>
  <c r="K40" i="11"/>
  <c r="L40" i="11"/>
  <c r="M40" i="11"/>
  <c r="N40" i="11"/>
  <c r="O40" i="11"/>
  <c r="P40" i="11"/>
  <c r="Q40" i="11"/>
  <c r="R40" i="11"/>
  <c r="S40" i="11"/>
  <c r="T40" i="11"/>
  <c r="U40" i="11"/>
  <c r="V40" i="11"/>
  <c r="G41" i="11"/>
  <c r="H41" i="11"/>
  <c r="I41" i="11"/>
  <c r="J41" i="11"/>
  <c r="K41" i="11"/>
  <c r="L41" i="11"/>
  <c r="M41" i="11"/>
  <c r="N41" i="11"/>
  <c r="O41" i="11"/>
  <c r="P41" i="11"/>
  <c r="Q41" i="11"/>
  <c r="R41" i="11"/>
  <c r="S41" i="11"/>
  <c r="T41" i="11"/>
  <c r="U41" i="11"/>
  <c r="V41" i="11"/>
  <c r="G42" i="11"/>
  <c r="H42" i="11"/>
  <c r="I42" i="11"/>
  <c r="J42" i="11"/>
  <c r="K42" i="11"/>
  <c r="L42" i="11"/>
  <c r="M42" i="11"/>
  <c r="N42" i="11"/>
  <c r="O42" i="11"/>
  <c r="P42" i="11"/>
  <c r="Q42" i="11"/>
  <c r="R42" i="11"/>
  <c r="S42" i="11"/>
  <c r="T42" i="11"/>
  <c r="U42" i="11"/>
  <c r="V42" i="11"/>
  <c r="G43" i="11"/>
  <c r="H43" i="11"/>
  <c r="I43" i="11"/>
  <c r="J43" i="11"/>
  <c r="K43" i="11"/>
  <c r="L43" i="11"/>
  <c r="M43" i="11"/>
  <c r="N43" i="11"/>
  <c r="O43" i="11"/>
  <c r="P43" i="11"/>
  <c r="Q43" i="11"/>
  <c r="R43" i="11"/>
  <c r="S43" i="11"/>
  <c r="T43" i="11"/>
  <c r="U43" i="11"/>
  <c r="V43" i="11"/>
  <c r="G44" i="11"/>
  <c r="H44" i="11"/>
  <c r="I44" i="11"/>
  <c r="J44" i="11"/>
  <c r="K44" i="11"/>
  <c r="L44" i="11"/>
  <c r="M44" i="11"/>
  <c r="N44" i="11"/>
  <c r="O44" i="11"/>
  <c r="P44" i="11"/>
  <c r="Q44" i="11"/>
  <c r="R44" i="11"/>
  <c r="S44" i="11"/>
  <c r="T44" i="11"/>
  <c r="U44" i="11"/>
  <c r="V44" i="11"/>
  <c r="G45" i="11"/>
  <c r="H45" i="11"/>
  <c r="I45" i="11"/>
  <c r="J45" i="11"/>
  <c r="K45" i="11"/>
  <c r="L45" i="11"/>
  <c r="M45" i="11"/>
  <c r="N45" i="11"/>
  <c r="O45" i="11"/>
  <c r="P45" i="11"/>
  <c r="Q45" i="11"/>
  <c r="R45" i="11"/>
  <c r="S45" i="11"/>
  <c r="T45" i="11"/>
  <c r="U45" i="11"/>
  <c r="V45" i="11"/>
  <c r="G46" i="11"/>
  <c r="H46" i="11"/>
  <c r="I46" i="11"/>
  <c r="J46" i="11"/>
  <c r="K46" i="11"/>
  <c r="L46" i="11"/>
  <c r="M46" i="11"/>
  <c r="N46" i="11"/>
  <c r="O46" i="11"/>
  <c r="P46" i="11"/>
  <c r="Q46" i="11"/>
  <c r="R46" i="11"/>
  <c r="S46" i="11"/>
  <c r="T46" i="11"/>
  <c r="U46" i="11"/>
  <c r="V46" i="11"/>
  <c r="F27" i="11"/>
  <c r="F28" i="11"/>
  <c r="F29" i="11"/>
  <c r="F30" i="11"/>
  <c r="F31" i="11"/>
  <c r="F32" i="11"/>
  <c r="F33" i="11"/>
  <c r="F34" i="11"/>
  <c r="F35" i="11"/>
  <c r="F36" i="11"/>
  <c r="F37" i="11"/>
  <c r="F38" i="11"/>
  <c r="F39" i="11"/>
  <c r="F40" i="11"/>
  <c r="F41" i="11"/>
  <c r="F42" i="11"/>
  <c r="F43" i="11"/>
  <c r="F44" i="11"/>
  <c r="F45" i="11"/>
  <c r="F46" i="11"/>
  <c r="F26" i="11"/>
  <c r="F4" i="11"/>
  <c r="H3" i="11"/>
  <c r="H51" i="11" s="1"/>
  <c r="I3" i="11"/>
  <c r="J3" i="11"/>
  <c r="K3" i="11"/>
  <c r="L3" i="11"/>
  <c r="M3" i="11"/>
  <c r="N3" i="11"/>
  <c r="O3" i="11"/>
  <c r="P3" i="11"/>
  <c r="Q3" i="11"/>
  <c r="R3" i="11"/>
  <c r="S3" i="11"/>
  <c r="T3" i="11"/>
  <c r="U3" i="11"/>
  <c r="V3" i="11"/>
  <c r="H4" i="11"/>
  <c r="H52" i="11" s="1"/>
  <c r="I4" i="11"/>
  <c r="J4" i="11"/>
  <c r="K4" i="11"/>
  <c r="L4" i="11"/>
  <c r="M4" i="11"/>
  <c r="N4" i="11"/>
  <c r="O4" i="11"/>
  <c r="P4" i="11"/>
  <c r="Q4" i="11"/>
  <c r="R4" i="11"/>
  <c r="S4" i="11"/>
  <c r="T4" i="11"/>
  <c r="U4" i="11"/>
  <c r="V4" i="11"/>
  <c r="H5" i="11"/>
  <c r="H53" i="11" s="1"/>
  <c r="I5" i="11"/>
  <c r="J5" i="11"/>
  <c r="K5" i="11"/>
  <c r="L5" i="11"/>
  <c r="M5" i="11"/>
  <c r="N5" i="11"/>
  <c r="O5" i="11"/>
  <c r="P5" i="11"/>
  <c r="Q5" i="11"/>
  <c r="R5" i="11"/>
  <c r="S5" i="11"/>
  <c r="T5" i="11"/>
  <c r="U5" i="11"/>
  <c r="V5" i="11"/>
  <c r="H6" i="11"/>
  <c r="H54" i="11" s="1"/>
  <c r="I6" i="11"/>
  <c r="J6" i="11"/>
  <c r="K6" i="11"/>
  <c r="L6" i="11"/>
  <c r="M6" i="11"/>
  <c r="N6" i="11"/>
  <c r="O6" i="11"/>
  <c r="P6" i="11"/>
  <c r="Q6" i="11"/>
  <c r="R6" i="11"/>
  <c r="S6" i="11"/>
  <c r="T6" i="11"/>
  <c r="U6" i="11"/>
  <c r="V6" i="11"/>
  <c r="H7" i="11"/>
  <c r="H55" i="11" s="1"/>
  <c r="I7" i="11"/>
  <c r="J7" i="11"/>
  <c r="K7" i="11"/>
  <c r="L7" i="11"/>
  <c r="M7" i="11"/>
  <c r="N7" i="11"/>
  <c r="O7" i="11"/>
  <c r="P7" i="11"/>
  <c r="Q7" i="11"/>
  <c r="R7" i="11"/>
  <c r="S7" i="11"/>
  <c r="T7" i="11"/>
  <c r="U7" i="11"/>
  <c r="V7" i="11"/>
  <c r="H8" i="11"/>
  <c r="H56" i="11" s="1"/>
  <c r="I8" i="11"/>
  <c r="J8" i="11"/>
  <c r="K8" i="11"/>
  <c r="L8" i="11"/>
  <c r="M8" i="11"/>
  <c r="N8" i="11"/>
  <c r="O8" i="11"/>
  <c r="P8" i="11"/>
  <c r="Q8" i="11"/>
  <c r="R8" i="11"/>
  <c r="S8" i="11"/>
  <c r="T8" i="11"/>
  <c r="U8" i="11"/>
  <c r="V8" i="11"/>
  <c r="H9" i="11"/>
  <c r="H57" i="11" s="1"/>
  <c r="I9" i="11"/>
  <c r="J9" i="11"/>
  <c r="K9" i="11"/>
  <c r="L9" i="11"/>
  <c r="M9" i="11"/>
  <c r="N9" i="11"/>
  <c r="O9" i="11"/>
  <c r="P9" i="11"/>
  <c r="Q9" i="11"/>
  <c r="R9" i="11"/>
  <c r="S9" i="11"/>
  <c r="T9" i="11"/>
  <c r="U9" i="11"/>
  <c r="V9" i="11"/>
  <c r="H10" i="11"/>
  <c r="H58" i="11" s="1"/>
  <c r="I10" i="11"/>
  <c r="J10" i="11"/>
  <c r="K10" i="11"/>
  <c r="L10" i="11"/>
  <c r="M10" i="11"/>
  <c r="N10" i="11"/>
  <c r="O10" i="11"/>
  <c r="P10" i="11"/>
  <c r="Q10" i="11"/>
  <c r="R10" i="11"/>
  <c r="S10" i="11"/>
  <c r="T10" i="11"/>
  <c r="U10" i="11"/>
  <c r="V10" i="11"/>
  <c r="H11" i="11"/>
  <c r="H59" i="11" s="1"/>
  <c r="I11" i="11"/>
  <c r="J11" i="11"/>
  <c r="K11" i="11"/>
  <c r="L11" i="11"/>
  <c r="M11" i="11"/>
  <c r="N11" i="11"/>
  <c r="O11" i="11"/>
  <c r="P11" i="11"/>
  <c r="Q11" i="11"/>
  <c r="R11" i="11"/>
  <c r="S11" i="11"/>
  <c r="T11" i="11"/>
  <c r="U11" i="11"/>
  <c r="V11" i="11"/>
  <c r="H12" i="11"/>
  <c r="H60" i="11" s="1"/>
  <c r="I12" i="11"/>
  <c r="J12" i="11"/>
  <c r="K12" i="11"/>
  <c r="L12" i="11"/>
  <c r="M12" i="11"/>
  <c r="N12" i="11"/>
  <c r="O12" i="11"/>
  <c r="P12" i="11"/>
  <c r="Q12" i="11"/>
  <c r="R12" i="11"/>
  <c r="S12" i="11"/>
  <c r="T12" i="11"/>
  <c r="U12" i="11"/>
  <c r="V12" i="11"/>
  <c r="H13" i="11"/>
  <c r="H61" i="11" s="1"/>
  <c r="I13" i="11"/>
  <c r="J13" i="11"/>
  <c r="K13" i="11"/>
  <c r="L13" i="11"/>
  <c r="M13" i="11"/>
  <c r="N13" i="11"/>
  <c r="O13" i="11"/>
  <c r="P13" i="11"/>
  <c r="Q13" i="11"/>
  <c r="R13" i="11"/>
  <c r="S13" i="11"/>
  <c r="T13" i="11"/>
  <c r="U13" i="11"/>
  <c r="V13" i="11"/>
  <c r="H14" i="11"/>
  <c r="H62" i="11" s="1"/>
  <c r="I14" i="11"/>
  <c r="J14" i="11"/>
  <c r="K14" i="11"/>
  <c r="L14" i="11"/>
  <c r="M14" i="11"/>
  <c r="N14" i="11"/>
  <c r="O14" i="11"/>
  <c r="P14" i="11"/>
  <c r="Q14" i="11"/>
  <c r="R14" i="11"/>
  <c r="S14" i="11"/>
  <c r="T14" i="11"/>
  <c r="U14" i="11"/>
  <c r="V14" i="11"/>
  <c r="H15" i="11"/>
  <c r="H63" i="11" s="1"/>
  <c r="I15" i="11"/>
  <c r="J15" i="11"/>
  <c r="K15" i="11"/>
  <c r="L15" i="11"/>
  <c r="M15" i="11"/>
  <c r="N15" i="11"/>
  <c r="O15" i="11"/>
  <c r="P15" i="11"/>
  <c r="Q15" i="11"/>
  <c r="R15" i="11"/>
  <c r="S15" i="11"/>
  <c r="T15" i="11"/>
  <c r="U15" i="11"/>
  <c r="V15" i="11"/>
  <c r="H16" i="11"/>
  <c r="H64" i="11" s="1"/>
  <c r="I16" i="11"/>
  <c r="J16" i="11"/>
  <c r="K16" i="11"/>
  <c r="L16" i="11"/>
  <c r="M16" i="11"/>
  <c r="N16" i="11"/>
  <c r="O16" i="11"/>
  <c r="P16" i="11"/>
  <c r="Q16" i="11"/>
  <c r="R16" i="11"/>
  <c r="S16" i="11"/>
  <c r="T16" i="11"/>
  <c r="U16" i="11"/>
  <c r="V16" i="11"/>
  <c r="H17" i="11"/>
  <c r="H65" i="11" s="1"/>
  <c r="I17" i="11"/>
  <c r="J17" i="11"/>
  <c r="K17" i="11"/>
  <c r="L17" i="11"/>
  <c r="M17" i="11"/>
  <c r="N17" i="11"/>
  <c r="O17" i="11"/>
  <c r="P17" i="11"/>
  <c r="Q17" i="11"/>
  <c r="R17" i="11"/>
  <c r="S17" i="11"/>
  <c r="T17" i="11"/>
  <c r="U17" i="11"/>
  <c r="V17" i="11"/>
  <c r="H18" i="11"/>
  <c r="H66" i="11" s="1"/>
  <c r="I18" i="11"/>
  <c r="J18" i="11"/>
  <c r="K18" i="11"/>
  <c r="L18" i="11"/>
  <c r="M18" i="11"/>
  <c r="N18" i="11"/>
  <c r="O18" i="11"/>
  <c r="P18" i="11"/>
  <c r="Q18" i="11"/>
  <c r="R18" i="11"/>
  <c r="S18" i="11"/>
  <c r="T18" i="11"/>
  <c r="U18" i="11"/>
  <c r="V18" i="11"/>
  <c r="H19" i="11"/>
  <c r="H67" i="11" s="1"/>
  <c r="I19" i="11"/>
  <c r="J19" i="11"/>
  <c r="K19" i="11"/>
  <c r="L19" i="11"/>
  <c r="M19" i="11"/>
  <c r="N19" i="11"/>
  <c r="O19" i="11"/>
  <c r="P19" i="11"/>
  <c r="Q19" i="11"/>
  <c r="R19" i="11"/>
  <c r="S19" i="11"/>
  <c r="T19" i="11"/>
  <c r="U19" i="11"/>
  <c r="V19" i="11"/>
  <c r="H20" i="11"/>
  <c r="H68" i="11" s="1"/>
  <c r="I20" i="11"/>
  <c r="J20" i="11"/>
  <c r="K20" i="11"/>
  <c r="L20" i="11"/>
  <c r="M20" i="11"/>
  <c r="N20" i="11"/>
  <c r="O20" i="11"/>
  <c r="P20" i="11"/>
  <c r="Q20" i="11"/>
  <c r="R20" i="11"/>
  <c r="S20" i="11"/>
  <c r="T20" i="11"/>
  <c r="U20" i="11"/>
  <c r="V20" i="11"/>
  <c r="H21" i="11"/>
  <c r="H69" i="11" s="1"/>
  <c r="I21" i="11"/>
  <c r="J21" i="11"/>
  <c r="K21" i="11"/>
  <c r="L21" i="11"/>
  <c r="M21" i="11"/>
  <c r="N21" i="11"/>
  <c r="O21" i="11"/>
  <c r="P21" i="11"/>
  <c r="Q21" i="11"/>
  <c r="R21" i="11"/>
  <c r="S21" i="11"/>
  <c r="T21" i="11"/>
  <c r="U21" i="11"/>
  <c r="V21" i="11"/>
  <c r="H22" i="11"/>
  <c r="H70" i="11" s="1"/>
  <c r="I22" i="11"/>
  <c r="J22" i="11"/>
  <c r="K22" i="11"/>
  <c r="L22" i="11"/>
  <c r="M22" i="11"/>
  <c r="N22" i="11"/>
  <c r="O22" i="11"/>
  <c r="P22" i="11"/>
  <c r="Q22" i="11"/>
  <c r="R22" i="11"/>
  <c r="S22" i="11"/>
  <c r="T22" i="11"/>
  <c r="U22" i="11"/>
  <c r="V22" i="11"/>
  <c r="H23" i="11"/>
  <c r="H71" i="11" s="1"/>
  <c r="I23" i="11"/>
  <c r="J23" i="11"/>
  <c r="K23" i="11"/>
  <c r="L23" i="11"/>
  <c r="M23" i="11"/>
  <c r="N23" i="11"/>
  <c r="O23" i="11"/>
  <c r="P23" i="11"/>
  <c r="Q23" i="11"/>
  <c r="R23" i="11"/>
  <c r="S23" i="11"/>
  <c r="T23" i="11"/>
  <c r="U23" i="11"/>
  <c r="V23" i="11"/>
  <c r="G3" i="11"/>
  <c r="G4" i="11"/>
  <c r="G5" i="11"/>
  <c r="G53" i="11" s="1"/>
  <c r="G6" i="11"/>
  <c r="G7" i="11"/>
  <c r="G8" i="11"/>
  <c r="G9" i="11"/>
  <c r="G57" i="11" s="1"/>
  <c r="G10" i="11"/>
  <c r="G11" i="11"/>
  <c r="G12" i="11"/>
  <c r="G13" i="11"/>
  <c r="G61" i="11" s="1"/>
  <c r="G14" i="11"/>
  <c r="G15" i="11"/>
  <c r="G16" i="11"/>
  <c r="G17" i="11"/>
  <c r="G65" i="11" s="1"/>
  <c r="G18" i="11"/>
  <c r="G19" i="11"/>
  <c r="G20" i="11"/>
  <c r="G21" i="11"/>
  <c r="G69" i="11" s="1"/>
  <c r="G22" i="11"/>
  <c r="G23" i="11"/>
  <c r="F5" i="11"/>
  <c r="F53" i="11" s="1"/>
  <c r="F6" i="11"/>
  <c r="F54" i="11" s="1"/>
  <c r="F7" i="11"/>
  <c r="F55" i="11" s="1"/>
  <c r="F8" i="11"/>
  <c r="F9" i="11"/>
  <c r="F57" i="11" s="1"/>
  <c r="F10" i="11"/>
  <c r="F58" i="11" s="1"/>
  <c r="F11" i="11"/>
  <c r="F59" i="11" s="1"/>
  <c r="F12" i="11"/>
  <c r="F13" i="11"/>
  <c r="F61" i="11" s="1"/>
  <c r="F14" i="11"/>
  <c r="F62" i="11" s="1"/>
  <c r="F15" i="11"/>
  <c r="F63" i="11" s="1"/>
  <c r="F16" i="11"/>
  <c r="F17" i="11"/>
  <c r="F65" i="11" s="1"/>
  <c r="F18" i="11"/>
  <c r="F66" i="11" s="1"/>
  <c r="F19" i="11"/>
  <c r="F67" i="11" s="1"/>
  <c r="F20" i="11"/>
  <c r="F21" i="11"/>
  <c r="F69" i="11" s="1"/>
  <c r="F22" i="11"/>
  <c r="F70" i="11" s="1"/>
  <c r="F23" i="11"/>
  <c r="F71" i="11" s="1"/>
  <c r="F3" i="11"/>
  <c r="S20" i="3"/>
  <c r="R20" i="3"/>
  <c r="Q20" i="3"/>
  <c r="P20" i="3"/>
  <c r="O20" i="3"/>
  <c r="N20" i="3"/>
  <c r="M20" i="3"/>
  <c r="L20" i="3"/>
  <c r="K20" i="3"/>
  <c r="J20" i="3"/>
  <c r="I20" i="3"/>
  <c r="H20" i="3"/>
  <c r="S19" i="3"/>
  <c r="R19" i="3"/>
  <c r="Q19" i="3"/>
  <c r="P19" i="3"/>
  <c r="O19" i="3"/>
  <c r="N19" i="3"/>
  <c r="M19" i="3"/>
  <c r="L19" i="3"/>
  <c r="K19" i="3"/>
  <c r="J19" i="3"/>
  <c r="I19" i="3"/>
  <c r="H19" i="3"/>
  <c r="S18" i="3"/>
  <c r="R18" i="3"/>
  <c r="Q18" i="3"/>
  <c r="P18" i="3"/>
  <c r="O18" i="3"/>
  <c r="N18" i="3"/>
  <c r="M18" i="3"/>
  <c r="L18" i="3"/>
  <c r="K18" i="3"/>
  <c r="J18" i="3"/>
  <c r="I18" i="3"/>
  <c r="H18" i="3"/>
  <c r="S17" i="3"/>
  <c r="R17" i="3"/>
  <c r="Q17" i="3"/>
  <c r="P17" i="3"/>
  <c r="O17" i="3"/>
  <c r="N17" i="3"/>
  <c r="M17" i="3"/>
  <c r="L17" i="3"/>
  <c r="K17" i="3"/>
  <c r="J17" i="3"/>
  <c r="I17" i="3"/>
  <c r="H17" i="3"/>
  <c r="S16" i="3"/>
  <c r="R16" i="3"/>
  <c r="Q16" i="3"/>
  <c r="P16" i="3"/>
  <c r="O16" i="3"/>
  <c r="N16" i="3"/>
  <c r="M16" i="3"/>
  <c r="L16" i="3"/>
  <c r="K16" i="3"/>
  <c r="J16" i="3"/>
  <c r="I16" i="3"/>
  <c r="H16" i="3"/>
  <c r="S15" i="3"/>
  <c r="R15" i="3"/>
  <c r="Q15" i="3"/>
  <c r="P15" i="3"/>
  <c r="O15" i="3"/>
  <c r="N15" i="3"/>
  <c r="M15" i="3"/>
  <c r="L15" i="3"/>
  <c r="K15" i="3"/>
  <c r="J15" i="3"/>
  <c r="I15" i="3"/>
  <c r="H15" i="3"/>
  <c r="S14" i="3"/>
  <c r="R14" i="3"/>
  <c r="Q14" i="3"/>
  <c r="P14" i="3"/>
  <c r="O14" i="3"/>
  <c r="N14" i="3"/>
  <c r="M14" i="3"/>
  <c r="L14" i="3"/>
  <c r="K14" i="3"/>
  <c r="J14" i="3"/>
  <c r="I14" i="3"/>
  <c r="H14" i="3"/>
  <c r="S13" i="3"/>
  <c r="R13" i="3"/>
  <c r="Q13" i="3"/>
  <c r="P13" i="3"/>
  <c r="O13" i="3"/>
  <c r="N13" i="3"/>
  <c r="M13" i="3"/>
  <c r="L13" i="3"/>
  <c r="K13" i="3"/>
  <c r="J13" i="3"/>
  <c r="I13" i="3"/>
  <c r="H13" i="3"/>
  <c r="T48" i="2"/>
  <c r="S48" i="2"/>
  <c r="R48" i="2"/>
  <c r="Q48" i="2"/>
  <c r="P48" i="2"/>
  <c r="O48" i="2"/>
  <c r="N48" i="2"/>
  <c r="M48" i="2"/>
  <c r="L48" i="2"/>
  <c r="K48" i="2"/>
  <c r="J48" i="2"/>
  <c r="I48" i="2"/>
  <c r="C48" i="2"/>
  <c r="T46" i="2"/>
  <c r="S46" i="2"/>
  <c r="R46" i="2"/>
  <c r="Q46" i="2"/>
  <c r="P46" i="2"/>
  <c r="O46" i="2"/>
  <c r="N46" i="2"/>
  <c r="M46" i="2"/>
  <c r="L46" i="2"/>
  <c r="K46" i="2"/>
  <c r="J46" i="2"/>
  <c r="I46" i="2"/>
  <c r="D46" i="2"/>
  <c r="T45" i="2"/>
  <c r="S45" i="2"/>
  <c r="R45" i="2"/>
  <c r="Q45" i="2"/>
  <c r="P45" i="2"/>
  <c r="O45" i="2"/>
  <c r="N45" i="2"/>
  <c r="M45" i="2"/>
  <c r="L45" i="2"/>
  <c r="K45" i="2"/>
  <c r="J45" i="2"/>
  <c r="I45" i="2"/>
  <c r="D45" i="2"/>
  <c r="T44" i="2"/>
  <c r="S44" i="2"/>
  <c r="R44" i="2"/>
  <c r="Q44" i="2"/>
  <c r="P44" i="2"/>
  <c r="O44" i="2"/>
  <c r="N44" i="2"/>
  <c r="M44" i="2"/>
  <c r="L44" i="2"/>
  <c r="K44" i="2"/>
  <c r="J44" i="2"/>
  <c r="I44" i="2"/>
  <c r="D44" i="2"/>
  <c r="E45" i="2" s="1"/>
  <c r="T43" i="2"/>
  <c r="S43" i="2"/>
  <c r="R43" i="2"/>
  <c r="Q43" i="2"/>
  <c r="P43" i="2"/>
  <c r="O43" i="2"/>
  <c r="N43" i="2"/>
  <c r="M43" i="2"/>
  <c r="L43" i="2"/>
  <c r="K43" i="2"/>
  <c r="J43" i="2"/>
  <c r="I43" i="2"/>
  <c r="D43" i="2"/>
  <c r="E44" i="2" s="1"/>
  <c r="F45" i="2" s="1"/>
  <c r="T42" i="2"/>
  <c r="S42" i="2"/>
  <c r="R42" i="2"/>
  <c r="Q42" i="2"/>
  <c r="P42" i="2"/>
  <c r="O42" i="2"/>
  <c r="N42" i="2"/>
  <c r="M42" i="2"/>
  <c r="L42" i="2"/>
  <c r="K42" i="2"/>
  <c r="J42" i="2"/>
  <c r="I42" i="2"/>
  <c r="D42" i="2"/>
  <c r="E43" i="2" s="1"/>
  <c r="F44" i="2" s="1"/>
  <c r="G45" i="2" s="1"/>
  <c r="T41" i="2"/>
  <c r="S41" i="2"/>
  <c r="R41" i="2"/>
  <c r="Q41" i="2"/>
  <c r="P41" i="2"/>
  <c r="O41" i="2"/>
  <c r="N41" i="2"/>
  <c r="M41" i="2"/>
  <c r="L41" i="2"/>
  <c r="K41" i="2"/>
  <c r="J41" i="2"/>
  <c r="I41" i="2"/>
  <c r="D41" i="2"/>
  <c r="E42" i="2" s="1"/>
  <c r="F43" i="2" s="1"/>
  <c r="G44" i="2" s="1"/>
  <c r="H45" i="2" s="1"/>
  <c r="T40" i="2"/>
  <c r="S40" i="2"/>
  <c r="R40" i="2"/>
  <c r="Q40" i="2"/>
  <c r="P40" i="2"/>
  <c r="O40" i="2"/>
  <c r="N40" i="2"/>
  <c r="M40" i="2"/>
  <c r="L40" i="2"/>
  <c r="K40" i="2"/>
  <c r="J40" i="2"/>
  <c r="I40" i="2"/>
  <c r="D40" i="2"/>
  <c r="E41" i="2" s="1"/>
  <c r="F42" i="2" s="1"/>
  <c r="G43" i="2" s="1"/>
  <c r="H44" i="2" s="1"/>
  <c r="T39" i="2"/>
  <c r="S39" i="2"/>
  <c r="R39" i="2"/>
  <c r="Q39" i="2"/>
  <c r="P39" i="2"/>
  <c r="O39" i="2"/>
  <c r="N39" i="2"/>
  <c r="M39" i="2"/>
  <c r="L39" i="2"/>
  <c r="K39" i="2"/>
  <c r="J39" i="2"/>
  <c r="I39" i="2"/>
  <c r="D39" i="2"/>
  <c r="E40" i="2" s="1"/>
  <c r="F41" i="2" s="1"/>
  <c r="G42" i="2" s="1"/>
  <c r="H43" i="2" s="1"/>
  <c r="T38" i="2"/>
  <c r="S38" i="2"/>
  <c r="R38" i="2"/>
  <c r="Q38" i="2"/>
  <c r="P38" i="2"/>
  <c r="O38" i="2"/>
  <c r="N38" i="2"/>
  <c r="M38" i="2"/>
  <c r="L38" i="2"/>
  <c r="K38" i="2"/>
  <c r="J38" i="2"/>
  <c r="I38" i="2"/>
  <c r="D38" i="2"/>
  <c r="E39" i="2" s="1"/>
  <c r="F40" i="2" s="1"/>
  <c r="G41" i="2" s="1"/>
  <c r="H42" i="2" s="1"/>
  <c r="T37" i="2"/>
  <c r="S37" i="2"/>
  <c r="R37" i="2"/>
  <c r="Q37" i="2"/>
  <c r="P37" i="2"/>
  <c r="O37" i="2"/>
  <c r="N37" i="2"/>
  <c r="M37" i="2"/>
  <c r="L37" i="2"/>
  <c r="K37" i="2"/>
  <c r="J37" i="2"/>
  <c r="I37" i="2"/>
  <c r="D37" i="2"/>
  <c r="E38" i="2" s="1"/>
  <c r="F39" i="2" s="1"/>
  <c r="G40" i="2" s="1"/>
  <c r="H41" i="2" s="1"/>
  <c r="T36" i="2"/>
  <c r="S36" i="2"/>
  <c r="R36" i="2"/>
  <c r="Q36" i="2"/>
  <c r="P36" i="2"/>
  <c r="O36" i="2"/>
  <c r="N36" i="2"/>
  <c r="M36" i="2"/>
  <c r="L36" i="2"/>
  <c r="K36" i="2"/>
  <c r="J36" i="2"/>
  <c r="I36" i="2"/>
  <c r="D36" i="2"/>
  <c r="E37" i="2" s="1"/>
  <c r="F38" i="2" s="1"/>
  <c r="G39" i="2" s="1"/>
  <c r="H40" i="2" s="1"/>
  <c r="T35" i="2"/>
  <c r="S35" i="2"/>
  <c r="R35" i="2"/>
  <c r="Q35" i="2"/>
  <c r="P35" i="2"/>
  <c r="O35" i="2"/>
  <c r="N35" i="2"/>
  <c r="M35" i="2"/>
  <c r="L35" i="2"/>
  <c r="K35" i="2"/>
  <c r="J35" i="2"/>
  <c r="I35" i="2"/>
  <c r="D35" i="2"/>
  <c r="T34" i="2"/>
  <c r="S34" i="2"/>
  <c r="R34" i="2"/>
  <c r="Q34" i="2"/>
  <c r="P34" i="2"/>
  <c r="O34" i="2"/>
  <c r="N34" i="2"/>
  <c r="M34" i="2"/>
  <c r="L34" i="2"/>
  <c r="K34" i="2"/>
  <c r="J34" i="2"/>
  <c r="I34" i="2"/>
  <c r="D34" i="2"/>
  <c r="E35" i="2" s="1"/>
  <c r="F36" i="2" s="1"/>
  <c r="G37" i="2" s="1"/>
  <c r="H38" i="2" s="1"/>
  <c r="T33" i="2"/>
  <c r="S33" i="2"/>
  <c r="R33" i="2"/>
  <c r="Q33" i="2"/>
  <c r="P33" i="2"/>
  <c r="O33" i="2"/>
  <c r="N33" i="2"/>
  <c r="M33" i="2"/>
  <c r="L33" i="2"/>
  <c r="K33" i="2"/>
  <c r="J33" i="2"/>
  <c r="I33" i="2"/>
  <c r="D33" i="2"/>
  <c r="E34" i="2" s="1"/>
  <c r="F35" i="2" s="1"/>
  <c r="G36" i="2" s="1"/>
  <c r="H37" i="2" s="1"/>
  <c r="T32" i="2"/>
  <c r="S32" i="2"/>
  <c r="R32" i="2"/>
  <c r="Q32" i="2"/>
  <c r="P32" i="2"/>
  <c r="O32" i="2"/>
  <c r="N32" i="2"/>
  <c r="M32" i="2"/>
  <c r="L32" i="2"/>
  <c r="K32" i="2"/>
  <c r="J32" i="2"/>
  <c r="I32" i="2"/>
  <c r="D32" i="2"/>
  <c r="E33" i="2" s="1"/>
  <c r="F34" i="2" s="1"/>
  <c r="G35" i="2" s="1"/>
  <c r="H36" i="2" s="1"/>
  <c r="T31" i="2"/>
  <c r="S31" i="2"/>
  <c r="R31" i="2"/>
  <c r="Q31" i="2"/>
  <c r="P31" i="2"/>
  <c r="O31" i="2"/>
  <c r="N31" i="2"/>
  <c r="M31" i="2"/>
  <c r="L31" i="2"/>
  <c r="K31" i="2"/>
  <c r="J31" i="2"/>
  <c r="I31" i="2"/>
  <c r="D31" i="2"/>
  <c r="T30" i="2"/>
  <c r="S30" i="2"/>
  <c r="R30" i="2"/>
  <c r="Q30" i="2"/>
  <c r="P30" i="2"/>
  <c r="O30" i="2"/>
  <c r="N30" i="2"/>
  <c r="M30" i="2"/>
  <c r="L30" i="2"/>
  <c r="K30" i="2"/>
  <c r="J30" i="2"/>
  <c r="I30" i="2"/>
  <c r="D30" i="2"/>
  <c r="E31" i="2" s="1"/>
  <c r="F32" i="2" s="1"/>
  <c r="G33" i="2" s="1"/>
  <c r="H34" i="2" s="1"/>
  <c r="T29" i="2"/>
  <c r="S29" i="2"/>
  <c r="R29" i="2"/>
  <c r="Q29" i="2"/>
  <c r="P29" i="2"/>
  <c r="O29" i="2"/>
  <c r="N29" i="2"/>
  <c r="M29" i="2"/>
  <c r="L29" i="2"/>
  <c r="K29" i="2"/>
  <c r="J29" i="2"/>
  <c r="I29" i="2"/>
  <c r="D29" i="2"/>
  <c r="E30" i="2" s="1"/>
  <c r="F31" i="2" s="1"/>
  <c r="G32" i="2" s="1"/>
  <c r="H33" i="2" s="1"/>
  <c r="T28" i="2"/>
  <c r="S28" i="2"/>
  <c r="R28" i="2"/>
  <c r="Q28" i="2"/>
  <c r="P28" i="2"/>
  <c r="O28" i="2"/>
  <c r="N28" i="2"/>
  <c r="M28" i="2"/>
  <c r="L28" i="2"/>
  <c r="K28" i="2"/>
  <c r="J28" i="2"/>
  <c r="I28" i="2"/>
  <c r="D28" i="2"/>
  <c r="E29" i="2" s="1"/>
  <c r="F30" i="2" s="1"/>
  <c r="G31" i="2" s="1"/>
  <c r="H32" i="2" s="1"/>
  <c r="T27" i="2"/>
  <c r="S27" i="2"/>
  <c r="R27" i="2"/>
  <c r="Q27" i="2"/>
  <c r="P27" i="2"/>
  <c r="O27" i="2"/>
  <c r="N27" i="2"/>
  <c r="M27" i="2"/>
  <c r="L27" i="2"/>
  <c r="K27" i="2"/>
  <c r="J27" i="2"/>
  <c r="I27" i="2"/>
  <c r="D27" i="2"/>
  <c r="E28" i="2" s="1"/>
  <c r="T26" i="2"/>
  <c r="S26" i="2"/>
  <c r="R26" i="2"/>
  <c r="Q26" i="2"/>
  <c r="P26" i="2"/>
  <c r="O26" i="2"/>
  <c r="N26" i="2"/>
  <c r="M26" i="2"/>
  <c r="L26" i="2"/>
  <c r="K26" i="2"/>
  <c r="J26" i="2"/>
  <c r="I26" i="2"/>
  <c r="T23" i="2"/>
  <c r="T71" i="2" s="1"/>
  <c r="S23" i="2"/>
  <c r="S71" i="2" s="1"/>
  <c r="R23" i="2"/>
  <c r="R71" i="2" s="1"/>
  <c r="Q23" i="2"/>
  <c r="Q71" i="2" s="1"/>
  <c r="P23" i="2"/>
  <c r="P71" i="2" s="1"/>
  <c r="O23" i="2"/>
  <c r="O71" i="2" s="1"/>
  <c r="N23" i="2"/>
  <c r="N71" i="2" s="1"/>
  <c r="M23" i="2"/>
  <c r="M71" i="2" s="1"/>
  <c r="L23" i="2"/>
  <c r="L71" i="2" s="1"/>
  <c r="K23" i="2"/>
  <c r="K71" i="2" s="1"/>
  <c r="J23" i="2"/>
  <c r="J71" i="2" s="1"/>
  <c r="I23" i="2"/>
  <c r="I71" i="2" s="1"/>
  <c r="D23" i="2"/>
  <c r="D71" i="2" s="1"/>
  <c r="T22" i="2"/>
  <c r="T70" i="2" s="1"/>
  <c r="S22" i="2"/>
  <c r="S70" i="2" s="1"/>
  <c r="R22" i="2"/>
  <c r="R70" i="2" s="1"/>
  <c r="Q22" i="2"/>
  <c r="Q70" i="2" s="1"/>
  <c r="P22" i="2"/>
  <c r="P70" i="2" s="1"/>
  <c r="O22" i="2"/>
  <c r="O70" i="2" s="1"/>
  <c r="N22" i="2"/>
  <c r="N70" i="2" s="1"/>
  <c r="M22" i="2"/>
  <c r="M70" i="2" s="1"/>
  <c r="L22" i="2"/>
  <c r="L70" i="2" s="1"/>
  <c r="K22" i="2"/>
  <c r="K70" i="2" s="1"/>
  <c r="J22" i="2"/>
  <c r="J70" i="2" s="1"/>
  <c r="I22" i="2"/>
  <c r="I70" i="2" s="1"/>
  <c r="D22" i="2"/>
  <c r="D70" i="2" s="1"/>
  <c r="T21" i="2"/>
  <c r="T69" i="2" s="1"/>
  <c r="S21" i="2"/>
  <c r="S69" i="2" s="1"/>
  <c r="R21" i="2"/>
  <c r="R69" i="2" s="1"/>
  <c r="Q21" i="2"/>
  <c r="Q69" i="2" s="1"/>
  <c r="P21" i="2"/>
  <c r="P69" i="2" s="1"/>
  <c r="O21" i="2"/>
  <c r="O69" i="2" s="1"/>
  <c r="N21" i="2"/>
  <c r="N69" i="2" s="1"/>
  <c r="M21" i="2"/>
  <c r="M69" i="2" s="1"/>
  <c r="L21" i="2"/>
  <c r="L69" i="2" s="1"/>
  <c r="K21" i="2"/>
  <c r="K69" i="2" s="1"/>
  <c r="J21" i="2"/>
  <c r="J69" i="2" s="1"/>
  <c r="I21" i="2"/>
  <c r="I69" i="2" s="1"/>
  <c r="D21" i="2"/>
  <c r="T20" i="2"/>
  <c r="T68" i="2" s="1"/>
  <c r="S20" i="2"/>
  <c r="S68" i="2" s="1"/>
  <c r="R20" i="2"/>
  <c r="R68" i="2" s="1"/>
  <c r="Q20" i="2"/>
  <c r="Q68" i="2" s="1"/>
  <c r="P20" i="2"/>
  <c r="P68" i="2" s="1"/>
  <c r="O20" i="2"/>
  <c r="O68" i="2" s="1"/>
  <c r="N20" i="2"/>
  <c r="N68" i="2" s="1"/>
  <c r="M20" i="2"/>
  <c r="M68" i="2" s="1"/>
  <c r="L20" i="2"/>
  <c r="L68" i="2" s="1"/>
  <c r="K20" i="2"/>
  <c r="K68" i="2" s="1"/>
  <c r="J20" i="2"/>
  <c r="J68" i="2" s="1"/>
  <c r="I20" i="2"/>
  <c r="I68" i="2" s="1"/>
  <c r="D20" i="2"/>
  <c r="T19" i="2"/>
  <c r="T67" i="2" s="1"/>
  <c r="S19" i="2"/>
  <c r="S67" i="2" s="1"/>
  <c r="R19" i="2"/>
  <c r="R67" i="2" s="1"/>
  <c r="Q19" i="2"/>
  <c r="Q67" i="2" s="1"/>
  <c r="P19" i="2"/>
  <c r="P67" i="2" s="1"/>
  <c r="O19" i="2"/>
  <c r="O67" i="2" s="1"/>
  <c r="N19" i="2"/>
  <c r="N67" i="2" s="1"/>
  <c r="M19" i="2"/>
  <c r="M67" i="2" s="1"/>
  <c r="L19" i="2"/>
  <c r="L67" i="2" s="1"/>
  <c r="K19" i="2"/>
  <c r="K67" i="2" s="1"/>
  <c r="J19" i="2"/>
  <c r="J67" i="2" s="1"/>
  <c r="I19" i="2"/>
  <c r="I67" i="2" s="1"/>
  <c r="D19" i="2"/>
  <c r="T18" i="2"/>
  <c r="T66" i="2" s="1"/>
  <c r="S18" i="2"/>
  <c r="S66" i="2" s="1"/>
  <c r="R18" i="2"/>
  <c r="R66" i="2" s="1"/>
  <c r="Q18" i="2"/>
  <c r="Q66" i="2" s="1"/>
  <c r="P18" i="2"/>
  <c r="P66" i="2" s="1"/>
  <c r="O18" i="2"/>
  <c r="O66" i="2" s="1"/>
  <c r="N18" i="2"/>
  <c r="N66" i="2" s="1"/>
  <c r="M18" i="2"/>
  <c r="M66" i="2" s="1"/>
  <c r="L18" i="2"/>
  <c r="L66" i="2" s="1"/>
  <c r="K18" i="2"/>
  <c r="K66" i="2" s="1"/>
  <c r="J18" i="2"/>
  <c r="J66" i="2" s="1"/>
  <c r="I18" i="2"/>
  <c r="I66" i="2" s="1"/>
  <c r="D18" i="2"/>
  <c r="T17" i="2"/>
  <c r="T65" i="2" s="1"/>
  <c r="S17" i="2"/>
  <c r="S65" i="2" s="1"/>
  <c r="R17" i="2"/>
  <c r="R65" i="2" s="1"/>
  <c r="Q17" i="2"/>
  <c r="Q65" i="2" s="1"/>
  <c r="P17" i="2"/>
  <c r="P65" i="2" s="1"/>
  <c r="O17" i="2"/>
  <c r="O65" i="2" s="1"/>
  <c r="N17" i="2"/>
  <c r="N65" i="2" s="1"/>
  <c r="M17" i="2"/>
  <c r="M65" i="2" s="1"/>
  <c r="L17" i="2"/>
  <c r="L65" i="2" s="1"/>
  <c r="K17" i="2"/>
  <c r="K65" i="2" s="1"/>
  <c r="J17" i="2"/>
  <c r="J65" i="2" s="1"/>
  <c r="I17" i="2"/>
  <c r="I65" i="2" s="1"/>
  <c r="D17" i="2"/>
  <c r="T16" i="2"/>
  <c r="T64" i="2" s="1"/>
  <c r="S16" i="2"/>
  <c r="S64" i="2" s="1"/>
  <c r="R16" i="2"/>
  <c r="R64" i="2" s="1"/>
  <c r="Q16" i="2"/>
  <c r="Q64" i="2" s="1"/>
  <c r="P16" i="2"/>
  <c r="P64" i="2" s="1"/>
  <c r="O16" i="2"/>
  <c r="O64" i="2" s="1"/>
  <c r="N16" i="2"/>
  <c r="N64" i="2" s="1"/>
  <c r="M16" i="2"/>
  <c r="M64" i="2" s="1"/>
  <c r="L16" i="2"/>
  <c r="L64" i="2" s="1"/>
  <c r="K16" i="2"/>
  <c r="K64" i="2" s="1"/>
  <c r="J16" i="2"/>
  <c r="J64" i="2" s="1"/>
  <c r="I16" i="2"/>
  <c r="I64" i="2" s="1"/>
  <c r="D16" i="2"/>
  <c r="T15" i="2"/>
  <c r="T63" i="2" s="1"/>
  <c r="S15" i="2"/>
  <c r="S63" i="2" s="1"/>
  <c r="R15" i="2"/>
  <c r="R63" i="2" s="1"/>
  <c r="Q15" i="2"/>
  <c r="Q63" i="2" s="1"/>
  <c r="P15" i="2"/>
  <c r="P63" i="2" s="1"/>
  <c r="O15" i="2"/>
  <c r="O63" i="2" s="1"/>
  <c r="N15" i="2"/>
  <c r="N63" i="2" s="1"/>
  <c r="M15" i="2"/>
  <c r="M63" i="2" s="1"/>
  <c r="L15" i="2"/>
  <c r="L63" i="2" s="1"/>
  <c r="K15" i="2"/>
  <c r="K63" i="2" s="1"/>
  <c r="J15" i="2"/>
  <c r="J63" i="2" s="1"/>
  <c r="I15" i="2"/>
  <c r="I63" i="2" s="1"/>
  <c r="D15" i="2"/>
  <c r="T14" i="2"/>
  <c r="T62" i="2" s="1"/>
  <c r="S14" i="2"/>
  <c r="S62" i="2" s="1"/>
  <c r="R14" i="2"/>
  <c r="R62" i="2" s="1"/>
  <c r="Q14" i="2"/>
  <c r="Q62" i="2" s="1"/>
  <c r="P14" i="2"/>
  <c r="P62" i="2" s="1"/>
  <c r="O14" i="2"/>
  <c r="O62" i="2" s="1"/>
  <c r="N14" i="2"/>
  <c r="N62" i="2" s="1"/>
  <c r="M14" i="2"/>
  <c r="M62" i="2" s="1"/>
  <c r="L14" i="2"/>
  <c r="L62" i="2" s="1"/>
  <c r="K14" i="2"/>
  <c r="K62" i="2" s="1"/>
  <c r="J14" i="2"/>
  <c r="J62" i="2" s="1"/>
  <c r="I14" i="2"/>
  <c r="I62" i="2" s="1"/>
  <c r="D14" i="2"/>
  <c r="T13" i="2"/>
  <c r="T61" i="2" s="1"/>
  <c r="S13" i="2"/>
  <c r="S61" i="2" s="1"/>
  <c r="R13" i="2"/>
  <c r="R61" i="2" s="1"/>
  <c r="Q13" i="2"/>
  <c r="Q61" i="2" s="1"/>
  <c r="P13" i="2"/>
  <c r="P61" i="2" s="1"/>
  <c r="O13" i="2"/>
  <c r="O61" i="2" s="1"/>
  <c r="N13" i="2"/>
  <c r="N61" i="2" s="1"/>
  <c r="M13" i="2"/>
  <c r="M61" i="2" s="1"/>
  <c r="L13" i="2"/>
  <c r="L61" i="2" s="1"/>
  <c r="K13" i="2"/>
  <c r="K61" i="2" s="1"/>
  <c r="J13" i="2"/>
  <c r="J61" i="2" s="1"/>
  <c r="I13" i="2"/>
  <c r="I61" i="2" s="1"/>
  <c r="D13" i="2"/>
  <c r="T12" i="2"/>
  <c r="T60" i="2" s="1"/>
  <c r="S12" i="2"/>
  <c r="S60" i="2" s="1"/>
  <c r="R12" i="2"/>
  <c r="R60" i="2" s="1"/>
  <c r="Q12" i="2"/>
  <c r="Q60" i="2" s="1"/>
  <c r="P12" i="2"/>
  <c r="P60" i="2" s="1"/>
  <c r="O12" i="2"/>
  <c r="O60" i="2" s="1"/>
  <c r="N12" i="2"/>
  <c r="N60" i="2" s="1"/>
  <c r="M12" i="2"/>
  <c r="M60" i="2" s="1"/>
  <c r="L12" i="2"/>
  <c r="L60" i="2" s="1"/>
  <c r="K12" i="2"/>
  <c r="K60" i="2" s="1"/>
  <c r="J12" i="2"/>
  <c r="J60" i="2" s="1"/>
  <c r="I12" i="2"/>
  <c r="I60" i="2" s="1"/>
  <c r="D12" i="2"/>
  <c r="T11" i="2"/>
  <c r="T59" i="2" s="1"/>
  <c r="S11" i="2"/>
  <c r="S59" i="2" s="1"/>
  <c r="R11" i="2"/>
  <c r="R59" i="2" s="1"/>
  <c r="Q11" i="2"/>
  <c r="Q59" i="2" s="1"/>
  <c r="P11" i="2"/>
  <c r="P59" i="2" s="1"/>
  <c r="O11" i="2"/>
  <c r="O59" i="2" s="1"/>
  <c r="N11" i="2"/>
  <c r="N59" i="2" s="1"/>
  <c r="M11" i="2"/>
  <c r="M59" i="2" s="1"/>
  <c r="L11" i="2"/>
  <c r="L59" i="2" s="1"/>
  <c r="K11" i="2"/>
  <c r="K59" i="2" s="1"/>
  <c r="J11" i="2"/>
  <c r="J59" i="2" s="1"/>
  <c r="I11" i="2"/>
  <c r="I59" i="2" s="1"/>
  <c r="D11" i="2"/>
  <c r="T10" i="2"/>
  <c r="T58" i="2" s="1"/>
  <c r="S10" i="2"/>
  <c r="S58" i="2" s="1"/>
  <c r="R10" i="2"/>
  <c r="R58" i="2" s="1"/>
  <c r="Q10" i="2"/>
  <c r="Q58" i="2" s="1"/>
  <c r="P10" i="2"/>
  <c r="P58" i="2" s="1"/>
  <c r="O10" i="2"/>
  <c r="O58" i="2" s="1"/>
  <c r="N10" i="2"/>
  <c r="N58" i="2" s="1"/>
  <c r="M10" i="2"/>
  <c r="M58" i="2" s="1"/>
  <c r="L10" i="2"/>
  <c r="L58" i="2" s="1"/>
  <c r="K10" i="2"/>
  <c r="K58" i="2" s="1"/>
  <c r="J10" i="2"/>
  <c r="J58" i="2" s="1"/>
  <c r="I10" i="2"/>
  <c r="I58" i="2" s="1"/>
  <c r="D10" i="2"/>
  <c r="T9" i="2"/>
  <c r="T57" i="2" s="1"/>
  <c r="S9" i="2"/>
  <c r="S57" i="2" s="1"/>
  <c r="R9" i="2"/>
  <c r="R57" i="2" s="1"/>
  <c r="Q9" i="2"/>
  <c r="Q57" i="2" s="1"/>
  <c r="P9" i="2"/>
  <c r="P57" i="2" s="1"/>
  <c r="O9" i="2"/>
  <c r="O57" i="2" s="1"/>
  <c r="N9" i="2"/>
  <c r="N57" i="2" s="1"/>
  <c r="M9" i="2"/>
  <c r="M57" i="2" s="1"/>
  <c r="L9" i="2"/>
  <c r="L57" i="2" s="1"/>
  <c r="K9" i="2"/>
  <c r="K57" i="2" s="1"/>
  <c r="J9" i="2"/>
  <c r="J57" i="2" s="1"/>
  <c r="I9" i="2"/>
  <c r="I57" i="2" s="1"/>
  <c r="D9" i="2"/>
  <c r="T8" i="2"/>
  <c r="T56" i="2" s="1"/>
  <c r="S8" i="2"/>
  <c r="S56" i="2" s="1"/>
  <c r="R8" i="2"/>
  <c r="R56" i="2" s="1"/>
  <c r="Q8" i="2"/>
  <c r="Q56" i="2" s="1"/>
  <c r="P8" i="2"/>
  <c r="P56" i="2" s="1"/>
  <c r="O8" i="2"/>
  <c r="O56" i="2" s="1"/>
  <c r="N8" i="2"/>
  <c r="N56" i="2" s="1"/>
  <c r="M8" i="2"/>
  <c r="M56" i="2" s="1"/>
  <c r="L8" i="2"/>
  <c r="L56" i="2" s="1"/>
  <c r="K8" i="2"/>
  <c r="K56" i="2" s="1"/>
  <c r="J8" i="2"/>
  <c r="J56" i="2" s="1"/>
  <c r="I8" i="2"/>
  <c r="I56" i="2" s="1"/>
  <c r="D8" i="2"/>
  <c r="T7" i="2"/>
  <c r="T55" i="2" s="1"/>
  <c r="S7" i="2"/>
  <c r="S55" i="2" s="1"/>
  <c r="R7" i="2"/>
  <c r="R55" i="2" s="1"/>
  <c r="Q7" i="2"/>
  <c r="Q55" i="2" s="1"/>
  <c r="P7" i="2"/>
  <c r="P55" i="2" s="1"/>
  <c r="O7" i="2"/>
  <c r="O55" i="2" s="1"/>
  <c r="N7" i="2"/>
  <c r="N55" i="2" s="1"/>
  <c r="M7" i="2"/>
  <c r="M55" i="2" s="1"/>
  <c r="L7" i="2"/>
  <c r="L55" i="2" s="1"/>
  <c r="K7" i="2"/>
  <c r="K55" i="2" s="1"/>
  <c r="J7" i="2"/>
  <c r="J55" i="2" s="1"/>
  <c r="I7" i="2"/>
  <c r="I55" i="2" s="1"/>
  <c r="D7" i="2"/>
  <c r="T6" i="2"/>
  <c r="T54" i="2" s="1"/>
  <c r="S6" i="2"/>
  <c r="S54" i="2" s="1"/>
  <c r="R6" i="2"/>
  <c r="R54" i="2" s="1"/>
  <c r="Q6" i="2"/>
  <c r="Q54" i="2" s="1"/>
  <c r="P6" i="2"/>
  <c r="P54" i="2" s="1"/>
  <c r="O6" i="2"/>
  <c r="O54" i="2" s="1"/>
  <c r="N6" i="2"/>
  <c r="N54" i="2" s="1"/>
  <c r="M6" i="2"/>
  <c r="M54" i="2" s="1"/>
  <c r="L6" i="2"/>
  <c r="L54" i="2" s="1"/>
  <c r="K6" i="2"/>
  <c r="K54" i="2" s="1"/>
  <c r="J6" i="2"/>
  <c r="J54" i="2" s="1"/>
  <c r="I6" i="2"/>
  <c r="I54" i="2" s="1"/>
  <c r="D6" i="2"/>
  <c r="T5" i="2"/>
  <c r="T53" i="2" s="1"/>
  <c r="S5" i="2"/>
  <c r="S53" i="2" s="1"/>
  <c r="R5" i="2"/>
  <c r="R53" i="2" s="1"/>
  <c r="Q5" i="2"/>
  <c r="Q53" i="2" s="1"/>
  <c r="P5" i="2"/>
  <c r="P53" i="2" s="1"/>
  <c r="O5" i="2"/>
  <c r="O53" i="2" s="1"/>
  <c r="N5" i="2"/>
  <c r="N53" i="2" s="1"/>
  <c r="M5" i="2"/>
  <c r="M53" i="2" s="1"/>
  <c r="L5" i="2"/>
  <c r="L53" i="2" s="1"/>
  <c r="K5" i="2"/>
  <c r="K53" i="2" s="1"/>
  <c r="J5" i="2"/>
  <c r="J53" i="2" s="1"/>
  <c r="I5" i="2"/>
  <c r="I53" i="2" s="1"/>
  <c r="D5" i="2"/>
  <c r="T4" i="2"/>
  <c r="T52" i="2" s="1"/>
  <c r="S4" i="2"/>
  <c r="S52" i="2" s="1"/>
  <c r="R4" i="2"/>
  <c r="R52" i="2" s="1"/>
  <c r="Q4" i="2"/>
  <c r="Q52" i="2" s="1"/>
  <c r="P4" i="2"/>
  <c r="P52" i="2" s="1"/>
  <c r="O4" i="2"/>
  <c r="O52" i="2" s="1"/>
  <c r="N4" i="2"/>
  <c r="N52" i="2" s="1"/>
  <c r="M4" i="2"/>
  <c r="M52" i="2" s="1"/>
  <c r="L4" i="2"/>
  <c r="L52" i="2" s="1"/>
  <c r="K4" i="2"/>
  <c r="K52" i="2" s="1"/>
  <c r="J4" i="2"/>
  <c r="J52" i="2" s="1"/>
  <c r="I4" i="2"/>
  <c r="I52" i="2" s="1"/>
  <c r="D4" i="2"/>
  <c r="T3" i="2"/>
  <c r="T51" i="2" s="1"/>
  <c r="S3" i="2"/>
  <c r="S51" i="2" s="1"/>
  <c r="R3" i="2"/>
  <c r="R51" i="2" s="1"/>
  <c r="Q3" i="2"/>
  <c r="Q51" i="2" s="1"/>
  <c r="P3" i="2"/>
  <c r="P51" i="2" s="1"/>
  <c r="O3" i="2"/>
  <c r="O51" i="2" s="1"/>
  <c r="N3" i="2"/>
  <c r="N51" i="2" s="1"/>
  <c r="M3" i="2"/>
  <c r="M51" i="2" s="1"/>
  <c r="L3" i="2"/>
  <c r="L51" i="2" s="1"/>
  <c r="K3" i="2"/>
  <c r="K51" i="2" s="1"/>
  <c r="J3" i="2"/>
  <c r="J51" i="2" s="1"/>
  <c r="I3" i="2"/>
  <c r="I51" i="2" s="1"/>
  <c r="C84" i="2" l="1"/>
  <c r="E48" i="14" s="1"/>
  <c r="C82" i="2"/>
  <c r="C48" i="14" s="1"/>
  <c r="C85" i="2"/>
  <c r="F48" i="14" s="1"/>
  <c r="C86" i="2"/>
  <c r="G48" i="14" s="1"/>
  <c r="E10" i="2"/>
  <c r="D57" i="2"/>
  <c r="E6" i="2"/>
  <c r="D53" i="2"/>
  <c r="E14" i="2"/>
  <c r="D61" i="2"/>
  <c r="E7" i="2"/>
  <c r="D54" i="2"/>
  <c r="E11" i="2"/>
  <c r="D58" i="2"/>
  <c r="E15" i="2"/>
  <c r="D62" i="2"/>
  <c r="E19" i="2"/>
  <c r="D66" i="2"/>
  <c r="E8" i="2"/>
  <c r="D55" i="2"/>
  <c r="E12" i="2"/>
  <c r="D59" i="2"/>
  <c r="E16" i="2"/>
  <c r="D63" i="2"/>
  <c r="E20" i="2"/>
  <c r="D67" i="2"/>
  <c r="E18" i="2"/>
  <c r="D65" i="2"/>
  <c r="E22" i="2"/>
  <c r="E70" i="2" s="1"/>
  <c r="D69" i="2"/>
  <c r="E5" i="2"/>
  <c r="D52" i="2"/>
  <c r="E9" i="2"/>
  <c r="D56" i="2"/>
  <c r="E13" i="2"/>
  <c r="D60" i="2"/>
  <c r="E17" i="2"/>
  <c r="D64" i="2"/>
  <c r="D76" i="2" s="1"/>
  <c r="E21" i="2"/>
  <c r="D68" i="2"/>
  <c r="F73" i="11"/>
  <c r="C31" i="14"/>
  <c r="E9" i="14"/>
  <c r="D31" i="14" s="1"/>
  <c r="E31" i="14"/>
  <c r="F23" i="2"/>
  <c r="F71" i="2" s="1"/>
  <c r="D17" i="3"/>
  <c r="E23" i="2"/>
  <c r="C18" i="3"/>
  <c r="D20" i="3"/>
  <c r="E36" i="2"/>
  <c r="F37" i="2" s="1"/>
  <c r="G38" i="2" s="1"/>
  <c r="H39" i="2" s="1"/>
  <c r="F19" i="3"/>
  <c r="F15" i="3"/>
  <c r="E20" i="3"/>
  <c r="F29" i="2"/>
  <c r="E13" i="3"/>
  <c r="G8" i="2"/>
  <c r="G12" i="2"/>
  <c r="G14" i="2"/>
  <c r="G18" i="3"/>
  <c r="G9" i="2"/>
  <c r="G15" i="2"/>
  <c r="G18" i="2"/>
  <c r="G20" i="2"/>
  <c r="C14" i="3"/>
  <c r="C15" i="3"/>
  <c r="F16" i="3"/>
  <c r="D18" i="3"/>
  <c r="C19" i="3"/>
  <c r="F20" i="3"/>
  <c r="G11" i="2"/>
  <c r="G16" i="2"/>
  <c r="G13" i="2"/>
  <c r="G19" i="2"/>
  <c r="G22" i="2"/>
  <c r="G70" i="2" s="1"/>
  <c r="C13" i="3"/>
  <c r="D14" i="3"/>
  <c r="D15" i="3"/>
  <c r="C16" i="3"/>
  <c r="G16" i="3"/>
  <c r="F17" i="3"/>
  <c r="E18" i="3"/>
  <c r="D19" i="3"/>
  <c r="C20" i="3"/>
  <c r="G20" i="3"/>
  <c r="G21" i="2"/>
  <c r="E16" i="3"/>
  <c r="G7" i="2"/>
  <c r="G10" i="2"/>
  <c r="G17" i="2"/>
  <c r="E32" i="2"/>
  <c r="D16" i="3" s="1"/>
  <c r="E46" i="2"/>
  <c r="F46" i="2" s="1"/>
  <c r="D13" i="3"/>
  <c r="E14" i="3"/>
  <c r="E15" i="3"/>
  <c r="C17" i="3"/>
  <c r="G17" i="3"/>
  <c r="E19" i="3"/>
  <c r="G23" i="2"/>
  <c r="G71" i="2" s="1"/>
  <c r="E71" i="2" l="1"/>
  <c r="D79" i="2"/>
  <c r="D86" i="2" s="1"/>
  <c r="G49" i="14" s="1"/>
  <c r="D77" i="2"/>
  <c r="H13" i="2"/>
  <c r="H61" i="2" s="1"/>
  <c r="G60" i="2"/>
  <c r="H14" i="2"/>
  <c r="H62" i="2" s="1"/>
  <c r="G61" i="2"/>
  <c r="H10" i="2"/>
  <c r="H58" i="2" s="1"/>
  <c r="G57" i="2"/>
  <c r="H9" i="2"/>
  <c r="H57" i="2" s="1"/>
  <c r="G56" i="2"/>
  <c r="H8" i="2"/>
  <c r="H56" i="2" s="1"/>
  <c r="G55" i="2"/>
  <c r="H17" i="2"/>
  <c r="H65" i="2" s="1"/>
  <c r="G64" i="2"/>
  <c r="H21" i="2"/>
  <c r="H69" i="2" s="1"/>
  <c r="G68" i="2"/>
  <c r="F18" i="2"/>
  <c r="F66" i="2" s="1"/>
  <c r="E65" i="2"/>
  <c r="F10" i="2"/>
  <c r="E57" i="2"/>
  <c r="F21" i="2"/>
  <c r="F69" i="2" s="1"/>
  <c r="E68" i="2"/>
  <c r="F13" i="2"/>
  <c r="F61" i="2" s="1"/>
  <c r="E60" i="2"/>
  <c r="F20" i="2"/>
  <c r="F68" i="2" s="1"/>
  <c r="E67" i="2"/>
  <c r="F12" i="2"/>
  <c r="F60" i="2" s="1"/>
  <c r="E59" i="2"/>
  <c r="F15" i="2"/>
  <c r="F63" i="2" s="1"/>
  <c r="E62" i="2"/>
  <c r="F11" i="2"/>
  <c r="F59" i="2" s="1"/>
  <c r="E58" i="2"/>
  <c r="H12" i="2"/>
  <c r="H60" i="2" s="1"/>
  <c r="G59" i="2"/>
  <c r="H19" i="2"/>
  <c r="H67" i="2" s="1"/>
  <c r="G66" i="2"/>
  <c r="H15" i="2"/>
  <c r="H63" i="2" s="1"/>
  <c r="G62" i="2"/>
  <c r="H18" i="2"/>
  <c r="H66" i="2" s="1"/>
  <c r="G65" i="2"/>
  <c r="F22" i="2"/>
  <c r="F70" i="2" s="1"/>
  <c r="E69" i="2"/>
  <c r="F14" i="2"/>
  <c r="F62" i="2" s="1"/>
  <c r="E61" i="2"/>
  <c r="F6" i="2"/>
  <c r="F54" i="2" s="1"/>
  <c r="E53" i="2"/>
  <c r="F19" i="2"/>
  <c r="F67" i="2" s="1"/>
  <c r="F77" i="2" s="1"/>
  <c r="E66" i="2"/>
  <c r="F17" i="2"/>
  <c r="F65" i="2" s="1"/>
  <c r="E64" i="2"/>
  <c r="F9" i="2"/>
  <c r="F57" i="2" s="1"/>
  <c r="E56" i="2"/>
  <c r="F16" i="2"/>
  <c r="F64" i="2" s="1"/>
  <c r="E63" i="2"/>
  <c r="F8" i="2"/>
  <c r="F56" i="2" s="1"/>
  <c r="E55" i="2"/>
  <c r="E79" i="2" s="1"/>
  <c r="F7" i="2"/>
  <c r="F55" i="2" s="1"/>
  <c r="E54" i="2"/>
  <c r="H22" i="2"/>
  <c r="H70" i="2" s="1"/>
  <c r="G69" i="2"/>
  <c r="H20" i="2"/>
  <c r="H68" i="2" s="1"/>
  <c r="G67" i="2"/>
  <c r="H16" i="2"/>
  <c r="H64" i="2" s="1"/>
  <c r="G63" i="2"/>
  <c r="H11" i="2"/>
  <c r="H59" i="2" s="1"/>
  <c r="G58" i="2"/>
  <c r="H23" i="2"/>
  <c r="H71" i="2" s="1"/>
  <c r="G46" i="2"/>
  <c r="H46" i="2" s="1"/>
  <c r="F33" i="2"/>
  <c r="G30" i="2"/>
  <c r="F14" i="3" s="1"/>
  <c r="C2" i="11"/>
  <c r="E4" i="11"/>
  <c r="E5" i="11"/>
  <c r="E6" i="11"/>
  <c r="E7" i="11"/>
  <c r="E8" i="11"/>
  <c r="E9" i="11"/>
  <c r="E10" i="11"/>
  <c r="E11" i="11"/>
  <c r="E12" i="11"/>
  <c r="E13" i="11"/>
  <c r="E14" i="11"/>
  <c r="E15" i="11"/>
  <c r="E16" i="11"/>
  <c r="E17" i="11"/>
  <c r="E18" i="11"/>
  <c r="E19" i="11"/>
  <c r="E20" i="11"/>
  <c r="E21" i="11"/>
  <c r="E22" i="11"/>
  <c r="E23" i="11"/>
  <c r="E3" i="11"/>
  <c r="E27" i="11"/>
  <c r="E28" i="11"/>
  <c r="E29" i="11"/>
  <c r="E30" i="11"/>
  <c r="E31" i="11"/>
  <c r="E32" i="11"/>
  <c r="E33" i="11"/>
  <c r="E34" i="11"/>
  <c r="E35" i="11"/>
  <c r="E36" i="11"/>
  <c r="E37" i="11"/>
  <c r="E38" i="11"/>
  <c r="E39" i="11"/>
  <c r="E40" i="11"/>
  <c r="E41" i="11"/>
  <c r="E42" i="11"/>
  <c r="E43" i="11"/>
  <c r="E44" i="11"/>
  <c r="E45" i="11"/>
  <c r="E46" i="11"/>
  <c r="E26" i="11"/>
  <c r="F79" i="2" l="1"/>
  <c r="F76" i="2"/>
  <c r="F58" i="2"/>
  <c r="E76" i="2"/>
  <c r="E77" i="2"/>
  <c r="E69" i="11"/>
  <c r="E65" i="11"/>
  <c r="E61" i="11"/>
  <c r="E57" i="11"/>
  <c r="E53" i="11"/>
  <c r="G34" i="2"/>
  <c r="F18" i="3" s="1"/>
  <c r="E71" i="11"/>
  <c r="E67" i="11"/>
  <c r="E63" i="11"/>
  <c r="E59" i="11"/>
  <c r="E55" i="11"/>
  <c r="E17" i="3"/>
  <c r="H31" i="2"/>
  <c r="G15" i="3" s="1"/>
  <c r="E70" i="11"/>
  <c r="E66" i="11"/>
  <c r="E62" i="11"/>
  <c r="E58" i="11"/>
  <c r="E54" i="11"/>
  <c r="E48" i="11"/>
  <c r="E51" i="11"/>
  <c r="E68" i="11"/>
  <c r="E64" i="11"/>
  <c r="E60" i="11"/>
  <c r="E56" i="11"/>
  <c r="E52" i="11"/>
  <c r="D26" i="5"/>
  <c r="E26" i="5"/>
  <c r="F26" i="5"/>
  <c r="G26" i="5"/>
  <c r="H26" i="5"/>
  <c r="I26" i="5"/>
  <c r="J26" i="5"/>
  <c r="K26" i="5"/>
  <c r="L26" i="5"/>
  <c r="M26" i="5"/>
  <c r="N26" i="5"/>
  <c r="O26" i="5"/>
  <c r="P26" i="5"/>
  <c r="Q26" i="5"/>
  <c r="R26" i="5"/>
  <c r="S26" i="5"/>
  <c r="D27" i="5"/>
  <c r="E27" i="5"/>
  <c r="F27" i="5"/>
  <c r="G27" i="5"/>
  <c r="H27" i="5"/>
  <c r="I27" i="5"/>
  <c r="J27" i="5"/>
  <c r="K27" i="5"/>
  <c r="L27" i="5"/>
  <c r="M27" i="5"/>
  <c r="N27" i="5"/>
  <c r="O27" i="5"/>
  <c r="P27" i="5"/>
  <c r="Q27" i="5"/>
  <c r="R27" i="5"/>
  <c r="S27" i="5"/>
  <c r="D28" i="5"/>
  <c r="E28" i="5"/>
  <c r="F28" i="5"/>
  <c r="G28" i="5"/>
  <c r="H28" i="5"/>
  <c r="I28" i="5"/>
  <c r="J28" i="5"/>
  <c r="K28" i="5"/>
  <c r="L28" i="5"/>
  <c r="M28" i="5"/>
  <c r="N28" i="5"/>
  <c r="O28" i="5"/>
  <c r="P28" i="5"/>
  <c r="Q28" i="5"/>
  <c r="R28" i="5"/>
  <c r="S28" i="5"/>
  <c r="D29" i="5"/>
  <c r="E29" i="5"/>
  <c r="F29" i="5"/>
  <c r="G29" i="5"/>
  <c r="H29" i="5"/>
  <c r="I29" i="5"/>
  <c r="J29" i="5"/>
  <c r="K29" i="5"/>
  <c r="L29" i="5"/>
  <c r="M29" i="5"/>
  <c r="N29" i="5"/>
  <c r="O29" i="5"/>
  <c r="P29" i="5"/>
  <c r="Q29" i="5"/>
  <c r="R29" i="5"/>
  <c r="S29" i="5"/>
  <c r="D30" i="5"/>
  <c r="E30" i="5"/>
  <c r="F30" i="5"/>
  <c r="G30" i="5"/>
  <c r="H30" i="5"/>
  <c r="I30" i="5"/>
  <c r="J30" i="5"/>
  <c r="K30" i="5"/>
  <c r="L30" i="5"/>
  <c r="M30" i="5"/>
  <c r="N30" i="5"/>
  <c r="O30" i="5"/>
  <c r="P30" i="5"/>
  <c r="Q30" i="5"/>
  <c r="R30" i="5"/>
  <c r="S30" i="5"/>
  <c r="D31" i="5"/>
  <c r="E31" i="5"/>
  <c r="F31" i="5"/>
  <c r="G31" i="5"/>
  <c r="H31" i="5"/>
  <c r="I31" i="5"/>
  <c r="J31" i="5"/>
  <c r="K31" i="5"/>
  <c r="L31" i="5"/>
  <c r="M31" i="5"/>
  <c r="N31" i="5"/>
  <c r="O31" i="5"/>
  <c r="P31" i="5"/>
  <c r="Q31" i="5"/>
  <c r="R31" i="5"/>
  <c r="S31" i="5"/>
  <c r="D32" i="5"/>
  <c r="E32" i="5"/>
  <c r="F32" i="5"/>
  <c r="G32" i="5"/>
  <c r="H32" i="5"/>
  <c r="I32" i="5"/>
  <c r="J32" i="5"/>
  <c r="K32" i="5"/>
  <c r="L32" i="5"/>
  <c r="M32" i="5"/>
  <c r="N32" i="5"/>
  <c r="O32" i="5"/>
  <c r="P32" i="5"/>
  <c r="Q32" i="5"/>
  <c r="R32" i="5"/>
  <c r="S32" i="5"/>
  <c r="D33" i="5"/>
  <c r="E33" i="5"/>
  <c r="F33" i="5"/>
  <c r="G33" i="5"/>
  <c r="H33" i="5"/>
  <c r="I33" i="5"/>
  <c r="J33" i="5"/>
  <c r="K33" i="5"/>
  <c r="L33" i="5"/>
  <c r="M33" i="5"/>
  <c r="N33" i="5"/>
  <c r="O33" i="5"/>
  <c r="P33" i="5"/>
  <c r="Q33" i="5"/>
  <c r="R33" i="5"/>
  <c r="S33" i="5"/>
  <c r="D34" i="5"/>
  <c r="E34" i="5"/>
  <c r="F34" i="5"/>
  <c r="G34" i="5"/>
  <c r="H34" i="5"/>
  <c r="I34" i="5"/>
  <c r="J34" i="5"/>
  <c r="K34" i="5"/>
  <c r="L34" i="5"/>
  <c r="M34" i="5"/>
  <c r="N34" i="5"/>
  <c r="O34" i="5"/>
  <c r="P34" i="5"/>
  <c r="Q34" i="5"/>
  <c r="R34" i="5"/>
  <c r="S34" i="5"/>
  <c r="D35" i="5"/>
  <c r="E35" i="5"/>
  <c r="F35" i="5"/>
  <c r="G35" i="5"/>
  <c r="H35" i="5"/>
  <c r="I35" i="5"/>
  <c r="J35" i="5"/>
  <c r="K35" i="5"/>
  <c r="L35" i="5"/>
  <c r="M35" i="5"/>
  <c r="N35" i="5"/>
  <c r="O35" i="5"/>
  <c r="P35" i="5"/>
  <c r="Q35" i="5"/>
  <c r="R35" i="5"/>
  <c r="S35" i="5"/>
  <c r="D36" i="5"/>
  <c r="E36" i="5"/>
  <c r="F36" i="5"/>
  <c r="G36" i="5"/>
  <c r="H36" i="5"/>
  <c r="I36" i="5"/>
  <c r="J36" i="5"/>
  <c r="K36" i="5"/>
  <c r="L36" i="5"/>
  <c r="M36" i="5"/>
  <c r="N36" i="5"/>
  <c r="O36" i="5"/>
  <c r="P36" i="5"/>
  <c r="Q36" i="5"/>
  <c r="R36" i="5"/>
  <c r="S36" i="5"/>
  <c r="D37" i="5"/>
  <c r="E37" i="5"/>
  <c r="F37" i="5"/>
  <c r="G37" i="5"/>
  <c r="H37" i="5"/>
  <c r="I37" i="5"/>
  <c r="J37" i="5"/>
  <c r="K37" i="5"/>
  <c r="L37" i="5"/>
  <c r="M37" i="5"/>
  <c r="N37" i="5"/>
  <c r="O37" i="5"/>
  <c r="P37" i="5"/>
  <c r="Q37" i="5"/>
  <c r="R37" i="5"/>
  <c r="S37" i="5"/>
  <c r="D38" i="5"/>
  <c r="E38" i="5"/>
  <c r="F38" i="5"/>
  <c r="G38" i="5"/>
  <c r="H38" i="5"/>
  <c r="I38" i="5"/>
  <c r="J38" i="5"/>
  <c r="K38" i="5"/>
  <c r="L38" i="5"/>
  <c r="M38" i="5"/>
  <c r="N38" i="5"/>
  <c r="O38" i="5"/>
  <c r="P38" i="5"/>
  <c r="Q38" i="5"/>
  <c r="R38" i="5"/>
  <c r="S38" i="5"/>
  <c r="D39" i="5"/>
  <c r="E39" i="5"/>
  <c r="F39" i="5"/>
  <c r="G39" i="5"/>
  <c r="H39" i="5"/>
  <c r="I39" i="5"/>
  <c r="J39" i="5"/>
  <c r="K39" i="5"/>
  <c r="L39" i="5"/>
  <c r="M39" i="5"/>
  <c r="N39" i="5"/>
  <c r="O39" i="5"/>
  <c r="P39" i="5"/>
  <c r="Q39" i="5"/>
  <c r="R39" i="5"/>
  <c r="S39" i="5"/>
  <c r="D40" i="5"/>
  <c r="E40" i="5"/>
  <c r="F40" i="5"/>
  <c r="G40" i="5"/>
  <c r="H40" i="5"/>
  <c r="I40" i="5"/>
  <c r="J40" i="5"/>
  <c r="K40" i="5"/>
  <c r="L40" i="5"/>
  <c r="M40" i="5"/>
  <c r="N40" i="5"/>
  <c r="O40" i="5"/>
  <c r="P40" i="5"/>
  <c r="Q40" i="5"/>
  <c r="R40" i="5"/>
  <c r="S40" i="5"/>
  <c r="D41" i="5"/>
  <c r="E41" i="5"/>
  <c r="F41" i="5"/>
  <c r="G41" i="5"/>
  <c r="H41" i="5"/>
  <c r="I41" i="5"/>
  <c r="J41" i="5"/>
  <c r="K41" i="5"/>
  <c r="L41" i="5"/>
  <c r="M41" i="5"/>
  <c r="N41" i="5"/>
  <c r="O41" i="5"/>
  <c r="P41" i="5"/>
  <c r="Q41" i="5"/>
  <c r="R41" i="5"/>
  <c r="S41" i="5"/>
  <c r="D42" i="5"/>
  <c r="E42" i="5"/>
  <c r="F42" i="5"/>
  <c r="G42" i="5"/>
  <c r="H42" i="5"/>
  <c r="I42" i="5"/>
  <c r="J42" i="5"/>
  <c r="K42" i="5"/>
  <c r="L42" i="5"/>
  <c r="M42" i="5"/>
  <c r="N42" i="5"/>
  <c r="O42" i="5"/>
  <c r="P42" i="5"/>
  <c r="Q42" i="5"/>
  <c r="R42" i="5"/>
  <c r="S42" i="5"/>
  <c r="D43" i="5"/>
  <c r="E43" i="5"/>
  <c r="F43" i="5"/>
  <c r="G43" i="5"/>
  <c r="H43" i="5"/>
  <c r="I43" i="5"/>
  <c r="J43" i="5"/>
  <c r="K43" i="5"/>
  <c r="L43" i="5"/>
  <c r="M43" i="5"/>
  <c r="N43" i="5"/>
  <c r="O43" i="5"/>
  <c r="P43" i="5"/>
  <c r="Q43" i="5"/>
  <c r="R43" i="5"/>
  <c r="S43" i="5"/>
  <c r="D44" i="5"/>
  <c r="E44" i="5"/>
  <c r="F44" i="5"/>
  <c r="G44" i="5"/>
  <c r="H44" i="5"/>
  <c r="I44" i="5"/>
  <c r="J44" i="5"/>
  <c r="K44" i="5"/>
  <c r="L44" i="5"/>
  <c r="M44" i="5"/>
  <c r="N44" i="5"/>
  <c r="O44" i="5"/>
  <c r="P44" i="5"/>
  <c r="Q44" i="5"/>
  <c r="R44" i="5"/>
  <c r="S44" i="5"/>
  <c r="D45" i="5"/>
  <c r="E45" i="5"/>
  <c r="F45" i="5"/>
  <c r="G45" i="5"/>
  <c r="H45" i="5"/>
  <c r="I45" i="5"/>
  <c r="J45" i="5"/>
  <c r="K45" i="5"/>
  <c r="L45" i="5"/>
  <c r="M45" i="5"/>
  <c r="N45" i="5"/>
  <c r="O45" i="5"/>
  <c r="P45" i="5"/>
  <c r="Q45" i="5"/>
  <c r="R45" i="5"/>
  <c r="S45" i="5"/>
  <c r="D46" i="5"/>
  <c r="E46" i="5"/>
  <c r="F46" i="5"/>
  <c r="G46" i="5"/>
  <c r="H46" i="5"/>
  <c r="I46" i="5"/>
  <c r="J46" i="5"/>
  <c r="K46" i="5"/>
  <c r="L46" i="5"/>
  <c r="M46" i="5"/>
  <c r="N46" i="5"/>
  <c r="O46" i="5"/>
  <c r="P46" i="5"/>
  <c r="Q46" i="5"/>
  <c r="R46" i="5"/>
  <c r="S46" i="5"/>
  <c r="C27" i="5"/>
  <c r="C28" i="5"/>
  <c r="C29" i="5"/>
  <c r="C30" i="5"/>
  <c r="C31" i="5"/>
  <c r="C32" i="5"/>
  <c r="C33" i="5"/>
  <c r="C34" i="5"/>
  <c r="C35" i="5"/>
  <c r="C36" i="5"/>
  <c r="C37" i="5"/>
  <c r="C38" i="5"/>
  <c r="C39" i="5"/>
  <c r="C40" i="5"/>
  <c r="C41" i="5"/>
  <c r="C42" i="5"/>
  <c r="C43" i="5"/>
  <c r="C44" i="5"/>
  <c r="C45" i="5"/>
  <c r="C46" i="5"/>
  <c r="C26" i="5"/>
  <c r="D3" i="5"/>
  <c r="E3" i="5"/>
  <c r="F3" i="5"/>
  <c r="G3" i="5"/>
  <c r="H3" i="5"/>
  <c r="I3" i="5"/>
  <c r="J3" i="5"/>
  <c r="K3" i="5"/>
  <c r="L3" i="5"/>
  <c r="M3" i="5"/>
  <c r="N3" i="5"/>
  <c r="O3" i="5"/>
  <c r="P3" i="5"/>
  <c r="Q3" i="5"/>
  <c r="R3" i="5"/>
  <c r="S3" i="5"/>
  <c r="D4" i="5"/>
  <c r="E4" i="5"/>
  <c r="F4" i="5"/>
  <c r="G4" i="5"/>
  <c r="H4" i="5"/>
  <c r="I4" i="5"/>
  <c r="J4" i="5"/>
  <c r="K4" i="5"/>
  <c r="L4" i="5"/>
  <c r="M4" i="5"/>
  <c r="N4" i="5"/>
  <c r="O4" i="5"/>
  <c r="P4" i="5"/>
  <c r="Q4" i="5"/>
  <c r="R4" i="5"/>
  <c r="S4" i="5"/>
  <c r="D5" i="5"/>
  <c r="E5" i="5"/>
  <c r="F5" i="5"/>
  <c r="G5" i="5"/>
  <c r="H5" i="5"/>
  <c r="I5" i="5"/>
  <c r="J5" i="5"/>
  <c r="K5" i="5"/>
  <c r="L5" i="5"/>
  <c r="M5" i="5"/>
  <c r="N5" i="5"/>
  <c r="O5" i="5"/>
  <c r="P5" i="5"/>
  <c r="Q5" i="5"/>
  <c r="R5" i="5"/>
  <c r="S5" i="5"/>
  <c r="D6" i="5"/>
  <c r="E6" i="5"/>
  <c r="F6" i="5"/>
  <c r="G6" i="5"/>
  <c r="H6" i="5"/>
  <c r="I6" i="5"/>
  <c r="J6" i="5"/>
  <c r="K6" i="5"/>
  <c r="L6" i="5"/>
  <c r="M6" i="5"/>
  <c r="N6" i="5"/>
  <c r="O6" i="5"/>
  <c r="P6" i="5"/>
  <c r="Q6" i="5"/>
  <c r="R6" i="5"/>
  <c r="S6" i="5"/>
  <c r="D7" i="5"/>
  <c r="E7" i="5"/>
  <c r="F7" i="5"/>
  <c r="G7" i="5"/>
  <c r="H7" i="5"/>
  <c r="I7" i="5"/>
  <c r="J7" i="5"/>
  <c r="K7" i="5"/>
  <c r="L7" i="5"/>
  <c r="M7" i="5"/>
  <c r="N7" i="5"/>
  <c r="O7" i="5"/>
  <c r="P7" i="5"/>
  <c r="Q7" i="5"/>
  <c r="R7" i="5"/>
  <c r="S7" i="5"/>
  <c r="D8" i="5"/>
  <c r="E8" i="5"/>
  <c r="F8" i="5"/>
  <c r="G8" i="5"/>
  <c r="H8" i="5"/>
  <c r="I8" i="5"/>
  <c r="J8" i="5"/>
  <c r="K8" i="5"/>
  <c r="L8" i="5"/>
  <c r="M8" i="5"/>
  <c r="N8" i="5"/>
  <c r="O8" i="5"/>
  <c r="P8" i="5"/>
  <c r="Q8" i="5"/>
  <c r="R8" i="5"/>
  <c r="S8" i="5"/>
  <c r="D9" i="5"/>
  <c r="E9" i="5"/>
  <c r="F9" i="5"/>
  <c r="G9" i="5"/>
  <c r="H9" i="5"/>
  <c r="I9" i="5"/>
  <c r="J9" i="5"/>
  <c r="K9" i="5"/>
  <c r="L9" i="5"/>
  <c r="M9" i="5"/>
  <c r="N9" i="5"/>
  <c r="O9" i="5"/>
  <c r="P9" i="5"/>
  <c r="Q9" i="5"/>
  <c r="R9" i="5"/>
  <c r="S9" i="5"/>
  <c r="D10" i="5"/>
  <c r="E10" i="5"/>
  <c r="F10" i="5"/>
  <c r="G10" i="5"/>
  <c r="H10" i="5"/>
  <c r="I10" i="5"/>
  <c r="J10" i="5"/>
  <c r="K10" i="5"/>
  <c r="L10" i="5"/>
  <c r="M10" i="5"/>
  <c r="N10" i="5"/>
  <c r="O10" i="5"/>
  <c r="P10" i="5"/>
  <c r="Q10" i="5"/>
  <c r="R10" i="5"/>
  <c r="S10" i="5"/>
  <c r="D11" i="5"/>
  <c r="E11" i="5"/>
  <c r="F11" i="5"/>
  <c r="G11" i="5"/>
  <c r="H11" i="5"/>
  <c r="I11" i="5"/>
  <c r="J11" i="5"/>
  <c r="K11" i="5"/>
  <c r="L11" i="5"/>
  <c r="M11" i="5"/>
  <c r="N11" i="5"/>
  <c r="O11" i="5"/>
  <c r="P11" i="5"/>
  <c r="Q11" i="5"/>
  <c r="R11" i="5"/>
  <c r="S11" i="5"/>
  <c r="D12" i="5"/>
  <c r="E12" i="5"/>
  <c r="F12" i="5"/>
  <c r="G12" i="5"/>
  <c r="H12" i="5"/>
  <c r="I12" i="5"/>
  <c r="J12" i="5"/>
  <c r="K12" i="5"/>
  <c r="L12" i="5"/>
  <c r="M12" i="5"/>
  <c r="N12" i="5"/>
  <c r="O12" i="5"/>
  <c r="P12" i="5"/>
  <c r="Q12" i="5"/>
  <c r="R12" i="5"/>
  <c r="S12" i="5"/>
  <c r="D13" i="5"/>
  <c r="E13" i="5"/>
  <c r="F13" i="5"/>
  <c r="G13" i="5"/>
  <c r="H13" i="5"/>
  <c r="I13" i="5"/>
  <c r="J13" i="5"/>
  <c r="K13" i="5"/>
  <c r="L13" i="5"/>
  <c r="M13" i="5"/>
  <c r="N13" i="5"/>
  <c r="O13" i="5"/>
  <c r="P13" i="5"/>
  <c r="Q13" i="5"/>
  <c r="R13" i="5"/>
  <c r="S13" i="5"/>
  <c r="D14" i="5"/>
  <c r="E14" i="5"/>
  <c r="F14" i="5"/>
  <c r="G14" i="5"/>
  <c r="H14" i="5"/>
  <c r="I14" i="5"/>
  <c r="J14" i="5"/>
  <c r="K14" i="5"/>
  <c r="L14" i="5"/>
  <c r="M14" i="5"/>
  <c r="N14" i="5"/>
  <c r="O14" i="5"/>
  <c r="P14" i="5"/>
  <c r="Q14" i="5"/>
  <c r="R14" i="5"/>
  <c r="S14" i="5"/>
  <c r="D15" i="5"/>
  <c r="E15" i="5"/>
  <c r="F15" i="5"/>
  <c r="G15" i="5"/>
  <c r="H15" i="5"/>
  <c r="I15" i="5"/>
  <c r="J15" i="5"/>
  <c r="K15" i="5"/>
  <c r="L15" i="5"/>
  <c r="M15" i="5"/>
  <c r="N15" i="5"/>
  <c r="O15" i="5"/>
  <c r="P15" i="5"/>
  <c r="Q15" i="5"/>
  <c r="R15" i="5"/>
  <c r="S15" i="5"/>
  <c r="D16" i="5"/>
  <c r="E16" i="5"/>
  <c r="F16" i="5"/>
  <c r="G16" i="5"/>
  <c r="H16" i="5"/>
  <c r="I16" i="5"/>
  <c r="J16" i="5"/>
  <c r="K16" i="5"/>
  <c r="L16" i="5"/>
  <c r="M16" i="5"/>
  <c r="N16" i="5"/>
  <c r="O16" i="5"/>
  <c r="P16" i="5"/>
  <c r="Q16" i="5"/>
  <c r="R16" i="5"/>
  <c r="S16" i="5"/>
  <c r="D17" i="5"/>
  <c r="E17" i="5"/>
  <c r="F17" i="5"/>
  <c r="G17" i="5"/>
  <c r="H17" i="5"/>
  <c r="I17" i="5"/>
  <c r="J17" i="5"/>
  <c r="K17" i="5"/>
  <c r="L17" i="5"/>
  <c r="M17" i="5"/>
  <c r="N17" i="5"/>
  <c r="O17" i="5"/>
  <c r="P17" i="5"/>
  <c r="Q17" i="5"/>
  <c r="R17" i="5"/>
  <c r="S17" i="5"/>
  <c r="D18" i="5"/>
  <c r="E18" i="5"/>
  <c r="F18" i="5"/>
  <c r="G18" i="5"/>
  <c r="H18" i="5"/>
  <c r="I18" i="5"/>
  <c r="J18" i="5"/>
  <c r="K18" i="5"/>
  <c r="L18" i="5"/>
  <c r="M18" i="5"/>
  <c r="N18" i="5"/>
  <c r="O18" i="5"/>
  <c r="P18" i="5"/>
  <c r="Q18" i="5"/>
  <c r="R18" i="5"/>
  <c r="S18" i="5"/>
  <c r="D19" i="5"/>
  <c r="E19" i="5"/>
  <c r="F19" i="5"/>
  <c r="G19" i="5"/>
  <c r="H19" i="5"/>
  <c r="I19" i="5"/>
  <c r="J19" i="5"/>
  <c r="K19" i="5"/>
  <c r="L19" i="5"/>
  <c r="M19" i="5"/>
  <c r="N19" i="5"/>
  <c r="O19" i="5"/>
  <c r="P19" i="5"/>
  <c r="Q19" i="5"/>
  <c r="R19" i="5"/>
  <c r="S19" i="5"/>
  <c r="D20" i="5"/>
  <c r="E20" i="5"/>
  <c r="F20" i="5"/>
  <c r="G20" i="5"/>
  <c r="H20" i="5"/>
  <c r="I20" i="5"/>
  <c r="J20" i="5"/>
  <c r="K20" i="5"/>
  <c r="L20" i="5"/>
  <c r="M20" i="5"/>
  <c r="N20" i="5"/>
  <c r="O20" i="5"/>
  <c r="P20" i="5"/>
  <c r="Q20" i="5"/>
  <c r="R20" i="5"/>
  <c r="S20" i="5"/>
  <c r="D21" i="5"/>
  <c r="E21" i="5"/>
  <c r="F21" i="5"/>
  <c r="G21" i="5"/>
  <c r="H21" i="5"/>
  <c r="I21" i="5"/>
  <c r="J21" i="5"/>
  <c r="K21" i="5"/>
  <c r="L21" i="5"/>
  <c r="M21" i="5"/>
  <c r="N21" i="5"/>
  <c r="O21" i="5"/>
  <c r="P21" i="5"/>
  <c r="Q21" i="5"/>
  <c r="R21" i="5"/>
  <c r="S21" i="5"/>
  <c r="D22" i="5"/>
  <c r="E22" i="5"/>
  <c r="F22" i="5"/>
  <c r="G22" i="5"/>
  <c r="H22" i="5"/>
  <c r="I22" i="5"/>
  <c r="J22" i="5"/>
  <c r="K22" i="5"/>
  <c r="L22" i="5"/>
  <c r="M22" i="5"/>
  <c r="N22" i="5"/>
  <c r="O22" i="5"/>
  <c r="P22" i="5"/>
  <c r="Q22" i="5"/>
  <c r="R22" i="5"/>
  <c r="S22" i="5"/>
  <c r="D23" i="5"/>
  <c r="E23" i="5"/>
  <c r="F23" i="5"/>
  <c r="G23" i="5"/>
  <c r="H23" i="5"/>
  <c r="I23" i="5"/>
  <c r="J23" i="5"/>
  <c r="K23" i="5"/>
  <c r="L23" i="5"/>
  <c r="M23" i="5"/>
  <c r="N23" i="5"/>
  <c r="O23" i="5"/>
  <c r="P23" i="5"/>
  <c r="Q23" i="5"/>
  <c r="R23" i="5"/>
  <c r="S23" i="5"/>
  <c r="C4" i="5"/>
  <c r="C5" i="5"/>
  <c r="C6" i="5"/>
  <c r="C7" i="5"/>
  <c r="C8" i="5"/>
  <c r="C9" i="5"/>
  <c r="C10" i="5"/>
  <c r="C11" i="5"/>
  <c r="C12" i="5"/>
  <c r="C13" i="5"/>
  <c r="C14" i="5"/>
  <c r="C15" i="5"/>
  <c r="C16" i="5"/>
  <c r="C17" i="5"/>
  <c r="C18" i="5"/>
  <c r="C19" i="5"/>
  <c r="C20" i="5"/>
  <c r="C21" i="5"/>
  <c r="C22" i="5"/>
  <c r="C23" i="5"/>
  <c r="C3" i="5"/>
  <c r="D26" i="4"/>
  <c r="E26" i="4"/>
  <c r="F26" i="4"/>
  <c r="G26" i="4"/>
  <c r="H26" i="4"/>
  <c r="I26" i="4"/>
  <c r="J26" i="4"/>
  <c r="K26" i="4"/>
  <c r="L26" i="4"/>
  <c r="M26" i="4"/>
  <c r="N26" i="4"/>
  <c r="O26" i="4"/>
  <c r="P26" i="4"/>
  <c r="Q26" i="4"/>
  <c r="R26" i="4"/>
  <c r="S26" i="4"/>
  <c r="D27" i="4"/>
  <c r="E27" i="4"/>
  <c r="F27" i="4"/>
  <c r="G27" i="4"/>
  <c r="H27" i="4"/>
  <c r="I27" i="4"/>
  <c r="J27" i="4"/>
  <c r="K27" i="4"/>
  <c r="L27" i="4"/>
  <c r="M27" i="4"/>
  <c r="N27" i="4"/>
  <c r="O27" i="4"/>
  <c r="P27" i="4"/>
  <c r="Q27" i="4"/>
  <c r="R27" i="4"/>
  <c r="S27" i="4"/>
  <c r="D28" i="4"/>
  <c r="E28" i="4"/>
  <c r="F28" i="4"/>
  <c r="G28" i="4"/>
  <c r="H28" i="4"/>
  <c r="I28" i="4"/>
  <c r="J28" i="4"/>
  <c r="K28" i="4"/>
  <c r="L28" i="4"/>
  <c r="M28" i="4"/>
  <c r="N28" i="4"/>
  <c r="O28" i="4"/>
  <c r="P28" i="4"/>
  <c r="Q28" i="4"/>
  <c r="R28" i="4"/>
  <c r="S28" i="4"/>
  <c r="D29" i="4"/>
  <c r="E29" i="4"/>
  <c r="F29" i="4"/>
  <c r="G29" i="4"/>
  <c r="H29" i="4"/>
  <c r="I29" i="4"/>
  <c r="J29" i="4"/>
  <c r="K29" i="4"/>
  <c r="L29" i="4"/>
  <c r="M29" i="4"/>
  <c r="N29" i="4"/>
  <c r="O29" i="4"/>
  <c r="P29" i="4"/>
  <c r="Q29" i="4"/>
  <c r="R29" i="4"/>
  <c r="S29" i="4"/>
  <c r="D30" i="4"/>
  <c r="E30" i="4"/>
  <c r="F30" i="4"/>
  <c r="G30" i="4"/>
  <c r="H30" i="4"/>
  <c r="I30" i="4"/>
  <c r="J30" i="4"/>
  <c r="K30" i="4"/>
  <c r="L30" i="4"/>
  <c r="M30" i="4"/>
  <c r="N30" i="4"/>
  <c r="O30" i="4"/>
  <c r="P30" i="4"/>
  <c r="Q30" i="4"/>
  <c r="R30" i="4"/>
  <c r="S30" i="4"/>
  <c r="D31" i="4"/>
  <c r="E31" i="4"/>
  <c r="F31" i="4"/>
  <c r="G31" i="4"/>
  <c r="H31" i="4"/>
  <c r="I31" i="4"/>
  <c r="J31" i="4"/>
  <c r="K31" i="4"/>
  <c r="L31" i="4"/>
  <c r="M31" i="4"/>
  <c r="N31" i="4"/>
  <c r="O31" i="4"/>
  <c r="P31" i="4"/>
  <c r="Q31" i="4"/>
  <c r="R31" i="4"/>
  <c r="S31" i="4"/>
  <c r="D32" i="4"/>
  <c r="E32" i="4"/>
  <c r="F32" i="4"/>
  <c r="G32" i="4"/>
  <c r="H32" i="4"/>
  <c r="I32" i="4"/>
  <c r="J32" i="4"/>
  <c r="K32" i="4"/>
  <c r="L32" i="4"/>
  <c r="M32" i="4"/>
  <c r="N32" i="4"/>
  <c r="O32" i="4"/>
  <c r="P32" i="4"/>
  <c r="Q32" i="4"/>
  <c r="R32" i="4"/>
  <c r="S32" i="4"/>
  <c r="D33" i="4"/>
  <c r="E33" i="4"/>
  <c r="F33" i="4"/>
  <c r="G33" i="4"/>
  <c r="H33" i="4"/>
  <c r="I33" i="4"/>
  <c r="J33" i="4"/>
  <c r="K33" i="4"/>
  <c r="L33" i="4"/>
  <c r="M33" i="4"/>
  <c r="N33" i="4"/>
  <c r="O33" i="4"/>
  <c r="P33" i="4"/>
  <c r="Q33" i="4"/>
  <c r="R33" i="4"/>
  <c r="S33" i="4"/>
  <c r="D34" i="4"/>
  <c r="E34" i="4"/>
  <c r="F34" i="4"/>
  <c r="G34" i="4"/>
  <c r="H34" i="4"/>
  <c r="I34" i="4"/>
  <c r="J34" i="4"/>
  <c r="K34" i="4"/>
  <c r="L34" i="4"/>
  <c r="M34" i="4"/>
  <c r="N34" i="4"/>
  <c r="O34" i="4"/>
  <c r="P34" i="4"/>
  <c r="Q34" i="4"/>
  <c r="R34" i="4"/>
  <c r="S34" i="4"/>
  <c r="D35" i="4"/>
  <c r="E35" i="4"/>
  <c r="F35" i="4"/>
  <c r="G35" i="4"/>
  <c r="H35" i="4"/>
  <c r="I35" i="4"/>
  <c r="J35" i="4"/>
  <c r="K35" i="4"/>
  <c r="L35" i="4"/>
  <c r="M35" i="4"/>
  <c r="N35" i="4"/>
  <c r="O35" i="4"/>
  <c r="P35" i="4"/>
  <c r="Q35" i="4"/>
  <c r="R35" i="4"/>
  <c r="S35" i="4"/>
  <c r="D36" i="4"/>
  <c r="E36" i="4"/>
  <c r="F36" i="4"/>
  <c r="G36" i="4"/>
  <c r="H36" i="4"/>
  <c r="I36" i="4"/>
  <c r="J36" i="4"/>
  <c r="K36" i="4"/>
  <c r="L36" i="4"/>
  <c r="M36" i="4"/>
  <c r="N36" i="4"/>
  <c r="O36" i="4"/>
  <c r="P36" i="4"/>
  <c r="Q36" i="4"/>
  <c r="R36" i="4"/>
  <c r="S36" i="4"/>
  <c r="D37" i="4"/>
  <c r="E37" i="4"/>
  <c r="F37" i="4"/>
  <c r="G37" i="4"/>
  <c r="H37" i="4"/>
  <c r="I37" i="4"/>
  <c r="J37" i="4"/>
  <c r="K37" i="4"/>
  <c r="L37" i="4"/>
  <c r="M37" i="4"/>
  <c r="N37" i="4"/>
  <c r="O37" i="4"/>
  <c r="P37" i="4"/>
  <c r="Q37" i="4"/>
  <c r="R37" i="4"/>
  <c r="S37" i="4"/>
  <c r="D38" i="4"/>
  <c r="E38" i="4"/>
  <c r="F38" i="4"/>
  <c r="G38" i="4"/>
  <c r="H38" i="4"/>
  <c r="I38" i="4"/>
  <c r="J38" i="4"/>
  <c r="K38" i="4"/>
  <c r="L38" i="4"/>
  <c r="M38" i="4"/>
  <c r="N38" i="4"/>
  <c r="O38" i="4"/>
  <c r="P38" i="4"/>
  <c r="Q38" i="4"/>
  <c r="R38" i="4"/>
  <c r="S38" i="4"/>
  <c r="D39" i="4"/>
  <c r="E39" i="4"/>
  <c r="F39" i="4"/>
  <c r="G39" i="4"/>
  <c r="H39" i="4"/>
  <c r="I39" i="4"/>
  <c r="J39" i="4"/>
  <c r="K39" i="4"/>
  <c r="L39" i="4"/>
  <c r="M39" i="4"/>
  <c r="N39" i="4"/>
  <c r="O39" i="4"/>
  <c r="P39" i="4"/>
  <c r="Q39" i="4"/>
  <c r="R39" i="4"/>
  <c r="S39" i="4"/>
  <c r="D40" i="4"/>
  <c r="E40" i="4"/>
  <c r="F40" i="4"/>
  <c r="G40" i="4"/>
  <c r="H40" i="4"/>
  <c r="I40" i="4"/>
  <c r="J40" i="4"/>
  <c r="K40" i="4"/>
  <c r="L40" i="4"/>
  <c r="M40" i="4"/>
  <c r="N40" i="4"/>
  <c r="O40" i="4"/>
  <c r="P40" i="4"/>
  <c r="Q40" i="4"/>
  <c r="R40" i="4"/>
  <c r="S40" i="4"/>
  <c r="D41" i="4"/>
  <c r="E41" i="4"/>
  <c r="F41" i="4"/>
  <c r="G41" i="4"/>
  <c r="H41" i="4"/>
  <c r="I41" i="4"/>
  <c r="J41" i="4"/>
  <c r="K41" i="4"/>
  <c r="L41" i="4"/>
  <c r="M41" i="4"/>
  <c r="N41" i="4"/>
  <c r="O41" i="4"/>
  <c r="P41" i="4"/>
  <c r="Q41" i="4"/>
  <c r="R41" i="4"/>
  <c r="S41" i="4"/>
  <c r="D42" i="4"/>
  <c r="E42" i="4"/>
  <c r="F42" i="4"/>
  <c r="G42" i="4"/>
  <c r="H42" i="4"/>
  <c r="I42" i="4"/>
  <c r="J42" i="4"/>
  <c r="K42" i="4"/>
  <c r="L42" i="4"/>
  <c r="M42" i="4"/>
  <c r="N42" i="4"/>
  <c r="O42" i="4"/>
  <c r="P42" i="4"/>
  <c r="Q42" i="4"/>
  <c r="R42" i="4"/>
  <c r="S42" i="4"/>
  <c r="D43" i="4"/>
  <c r="E43" i="4"/>
  <c r="F43" i="4"/>
  <c r="G43" i="4"/>
  <c r="H43" i="4"/>
  <c r="I43" i="4"/>
  <c r="J43" i="4"/>
  <c r="K43" i="4"/>
  <c r="L43" i="4"/>
  <c r="M43" i="4"/>
  <c r="N43" i="4"/>
  <c r="O43" i="4"/>
  <c r="P43" i="4"/>
  <c r="Q43" i="4"/>
  <c r="R43" i="4"/>
  <c r="S43" i="4"/>
  <c r="D44" i="4"/>
  <c r="E44" i="4"/>
  <c r="F44" i="4"/>
  <c r="G44" i="4"/>
  <c r="H44" i="4"/>
  <c r="I44" i="4"/>
  <c r="J44" i="4"/>
  <c r="K44" i="4"/>
  <c r="L44" i="4"/>
  <c r="M44" i="4"/>
  <c r="N44" i="4"/>
  <c r="O44" i="4"/>
  <c r="P44" i="4"/>
  <c r="Q44" i="4"/>
  <c r="R44" i="4"/>
  <c r="S44" i="4"/>
  <c r="D45" i="4"/>
  <c r="E45" i="4"/>
  <c r="F45" i="4"/>
  <c r="G45" i="4"/>
  <c r="H45" i="4"/>
  <c r="I45" i="4"/>
  <c r="J45" i="4"/>
  <c r="K45" i="4"/>
  <c r="L45" i="4"/>
  <c r="M45" i="4"/>
  <c r="N45" i="4"/>
  <c r="O45" i="4"/>
  <c r="P45" i="4"/>
  <c r="Q45" i="4"/>
  <c r="R45" i="4"/>
  <c r="S45" i="4"/>
  <c r="D46" i="4"/>
  <c r="E46" i="4"/>
  <c r="F46" i="4"/>
  <c r="G46" i="4"/>
  <c r="H46" i="4"/>
  <c r="I46" i="4"/>
  <c r="J46" i="4"/>
  <c r="K46" i="4"/>
  <c r="L46" i="4"/>
  <c r="M46" i="4"/>
  <c r="N46" i="4"/>
  <c r="O46" i="4"/>
  <c r="P46" i="4"/>
  <c r="Q46" i="4"/>
  <c r="R46" i="4"/>
  <c r="S46" i="4"/>
  <c r="C27" i="4"/>
  <c r="C28" i="4"/>
  <c r="C29" i="4"/>
  <c r="C30" i="4"/>
  <c r="C31" i="4"/>
  <c r="C32" i="4"/>
  <c r="C33" i="4"/>
  <c r="C34" i="4"/>
  <c r="C35" i="4"/>
  <c r="C36" i="4"/>
  <c r="C37" i="4"/>
  <c r="C38" i="4"/>
  <c r="C39" i="4"/>
  <c r="C40" i="4"/>
  <c r="C41" i="4"/>
  <c r="C42" i="4"/>
  <c r="C43" i="4"/>
  <c r="C44" i="4"/>
  <c r="C45" i="4"/>
  <c r="C46" i="4"/>
  <c r="C26" i="4"/>
  <c r="D3" i="3"/>
  <c r="E3" i="3"/>
  <c r="F3" i="3"/>
  <c r="G3" i="3"/>
  <c r="H3" i="3"/>
  <c r="I3" i="3"/>
  <c r="J3" i="3"/>
  <c r="K3" i="3"/>
  <c r="L3" i="3"/>
  <c r="M3" i="3"/>
  <c r="N3" i="3"/>
  <c r="O3" i="3"/>
  <c r="P3" i="3"/>
  <c r="Q3" i="3"/>
  <c r="R3" i="3"/>
  <c r="S3" i="3"/>
  <c r="D4" i="3"/>
  <c r="E4" i="3"/>
  <c r="F4" i="3"/>
  <c r="G4" i="3"/>
  <c r="H4" i="3"/>
  <c r="I4" i="3"/>
  <c r="J4" i="3"/>
  <c r="K4" i="3"/>
  <c r="L4" i="3"/>
  <c r="M4" i="3"/>
  <c r="N4" i="3"/>
  <c r="O4" i="3"/>
  <c r="P4" i="3"/>
  <c r="Q4" i="3"/>
  <c r="R4" i="3"/>
  <c r="S4" i="3"/>
  <c r="D5" i="3"/>
  <c r="E5" i="3"/>
  <c r="F5" i="3"/>
  <c r="G5" i="3"/>
  <c r="H5" i="3"/>
  <c r="I5" i="3"/>
  <c r="J5" i="3"/>
  <c r="K5" i="3"/>
  <c r="L5" i="3"/>
  <c r="M5" i="3"/>
  <c r="N5" i="3"/>
  <c r="O5" i="3"/>
  <c r="P5" i="3"/>
  <c r="Q5" i="3"/>
  <c r="R5" i="3"/>
  <c r="S5" i="3"/>
  <c r="D6" i="3"/>
  <c r="E6" i="3"/>
  <c r="F6" i="3"/>
  <c r="G6" i="3"/>
  <c r="H6" i="3"/>
  <c r="I6" i="3"/>
  <c r="J6" i="3"/>
  <c r="K6" i="3"/>
  <c r="L6" i="3"/>
  <c r="M6" i="3"/>
  <c r="N6" i="3"/>
  <c r="O6" i="3"/>
  <c r="P6" i="3"/>
  <c r="Q6" i="3"/>
  <c r="R6" i="3"/>
  <c r="S6" i="3"/>
  <c r="D7" i="3"/>
  <c r="E7" i="3"/>
  <c r="F7" i="3"/>
  <c r="G7" i="3"/>
  <c r="H7" i="3"/>
  <c r="I7" i="3"/>
  <c r="J7" i="3"/>
  <c r="K7" i="3"/>
  <c r="L7" i="3"/>
  <c r="M7" i="3"/>
  <c r="N7" i="3"/>
  <c r="O7" i="3"/>
  <c r="P7" i="3"/>
  <c r="Q7" i="3"/>
  <c r="R7" i="3"/>
  <c r="S7" i="3"/>
  <c r="D8" i="3"/>
  <c r="E8" i="3"/>
  <c r="F8" i="3"/>
  <c r="G8" i="3"/>
  <c r="H8" i="3"/>
  <c r="I8" i="3"/>
  <c r="J8" i="3"/>
  <c r="K8" i="3"/>
  <c r="L8" i="3"/>
  <c r="M8" i="3"/>
  <c r="N8" i="3"/>
  <c r="O8" i="3"/>
  <c r="P8" i="3"/>
  <c r="Q8" i="3"/>
  <c r="R8" i="3"/>
  <c r="S8" i="3"/>
  <c r="D9" i="3"/>
  <c r="E9" i="3"/>
  <c r="F9" i="3"/>
  <c r="G9" i="3"/>
  <c r="H9" i="3"/>
  <c r="I9" i="3"/>
  <c r="J9" i="3"/>
  <c r="K9" i="3"/>
  <c r="L9" i="3"/>
  <c r="M9" i="3"/>
  <c r="N9" i="3"/>
  <c r="O9" i="3"/>
  <c r="P9" i="3"/>
  <c r="Q9" i="3"/>
  <c r="R9" i="3"/>
  <c r="S9" i="3"/>
  <c r="D10" i="3"/>
  <c r="E10" i="3"/>
  <c r="F10" i="3"/>
  <c r="G10" i="3"/>
  <c r="H10" i="3"/>
  <c r="I10" i="3"/>
  <c r="J10" i="3"/>
  <c r="K10" i="3"/>
  <c r="L10" i="3"/>
  <c r="M10" i="3"/>
  <c r="N10" i="3"/>
  <c r="O10" i="3"/>
  <c r="P10" i="3"/>
  <c r="Q10" i="3"/>
  <c r="R10" i="3"/>
  <c r="S10" i="3"/>
  <c r="C4" i="3"/>
  <c r="C5" i="3"/>
  <c r="C6" i="3"/>
  <c r="C7" i="3"/>
  <c r="C8" i="3"/>
  <c r="C9" i="3"/>
  <c r="C10" i="3"/>
  <c r="C3" i="3"/>
  <c r="C4" i="4"/>
  <c r="D4" i="4"/>
  <c r="E4" i="4"/>
  <c r="F4" i="4"/>
  <c r="G4" i="4"/>
  <c r="H4" i="4"/>
  <c r="I4" i="4"/>
  <c r="J4" i="4"/>
  <c r="K4" i="4"/>
  <c r="L4" i="4"/>
  <c r="M4" i="4"/>
  <c r="N4" i="4"/>
  <c r="O4" i="4"/>
  <c r="P4" i="4"/>
  <c r="Q4" i="4"/>
  <c r="R4" i="4"/>
  <c r="S4" i="4"/>
  <c r="C5" i="4"/>
  <c r="D5" i="4"/>
  <c r="E5" i="4"/>
  <c r="F5" i="4"/>
  <c r="G5" i="4"/>
  <c r="H5" i="4"/>
  <c r="I5" i="4"/>
  <c r="J5" i="4"/>
  <c r="K5" i="4"/>
  <c r="L5" i="4"/>
  <c r="M5" i="4"/>
  <c r="N5" i="4"/>
  <c r="O5" i="4"/>
  <c r="P5" i="4"/>
  <c r="Q5" i="4"/>
  <c r="R5" i="4"/>
  <c r="S5" i="4"/>
  <c r="C6" i="4"/>
  <c r="D6" i="4"/>
  <c r="E6" i="4"/>
  <c r="F6" i="4"/>
  <c r="G6" i="4"/>
  <c r="H6" i="4"/>
  <c r="I6" i="4"/>
  <c r="J6" i="4"/>
  <c r="K6" i="4"/>
  <c r="L6" i="4"/>
  <c r="M6" i="4"/>
  <c r="N6" i="4"/>
  <c r="O6" i="4"/>
  <c r="P6" i="4"/>
  <c r="Q6" i="4"/>
  <c r="R6" i="4"/>
  <c r="S6" i="4"/>
  <c r="C7" i="4"/>
  <c r="D7" i="4"/>
  <c r="E7" i="4"/>
  <c r="F7" i="4"/>
  <c r="G7" i="4"/>
  <c r="H7" i="4"/>
  <c r="I7" i="4"/>
  <c r="J7" i="4"/>
  <c r="K7" i="4"/>
  <c r="L7" i="4"/>
  <c r="M7" i="4"/>
  <c r="N7" i="4"/>
  <c r="O7" i="4"/>
  <c r="P7" i="4"/>
  <c r="Q7" i="4"/>
  <c r="R7" i="4"/>
  <c r="S7" i="4"/>
  <c r="C8" i="4"/>
  <c r="D8" i="4"/>
  <c r="E8" i="4"/>
  <c r="F8" i="4"/>
  <c r="G8" i="4"/>
  <c r="H8" i="4"/>
  <c r="I8" i="4"/>
  <c r="J8" i="4"/>
  <c r="K8" i="4"/>
  <c r="L8" i="4"/>
  <c r="M8" i="4"/>
  <c r="N8" i="4"/>
  <c r="O8" i="4"/>
  <c r="P8" i="4"/>
  <c r="Q8" i="4"/>
  <c r="R8" i="4"/>
  <c r="S8" i="4"/>
  <c r="C9" i="4"/>
  <c r="D9" i="4"/>
  <c r="E9" i="4"/>
  <c r="F9" i="4"/>
  <c r="G9" i="4"/>
  <c r="H9" i="4"/>
  <c r="I9" i="4"/>
  <c r="J9" i="4"/>
  <c r="K9" i="4"/>
  <c r="L9" i="4"/>
  <c r="M9" i="4"/>
  <c r="N9" i="4"/>
  <c r="O9" i="4"/>
  <c r="P9" i="4"/>
  <c r="Q9" i="4"/>
  <c r="R9" i="4"/>
  <c r="S9" i="4"/>
  <c r="C10" i="4"/>
  <c r="D10" i="4"/>
  <c r="E10" i="4"/>
  <c r="F10" i="4"/>
  <c r="G10" i="4"/>
  <c r="H10" i="4"/>
  <c r="I10" i="4"/>
  <c r="J10" i="4"/>
  <c r="K10" i="4"/>
  <c r="L10" i="4"/>
  <c r="M10" i="4"/>
  <c r="N10" i="4"/>
  <c r="O10" i="4"/>
  <c r="P10" i="4"/>
  <c r="Q10" i="4"/>
  <c r="R10" i="4"/>
  <c r="S10" i="4"/>
  <c r="C11" i="4"/>
  <c r="D11" i="4"/>
  <c r="E11" i="4"/>
  <c r="F11" i="4"/>
  <c r="G11" i="4"/>
  <c r="H11" i="4"/>
  <c r="I11" i="4"/>
  <c r="J11" i="4"/>
  <c r="K11" i="4"/>
  <c r="L11" i="4"/>
  <c r="M11" i="4"/>
  <c r="N11" i="4"/>
  <c r="O11" i="4"/>
  <c r="P11" i="4"/>
  <c r="Q11" i="4"/>
  <c r="R11" i="4"/>
  <c r="S11" i="4"/>
  <c r="C12" i="4"/>
  <c r="D12" i="4"/>
  <c r="E12" i="4"/>
  <c r="F12" i="4"/>
  <c r="G12" i="4"/>
  <c r="H12" i="4"/>
  <c r="I12" i="4"/>
  <c r="J12" i="4"/>
  <c r="K12" i="4"/>
  <c r="L12" i="4"/>
  <c r="M12" i="4"/>
  <c r="N12" i="4"/>
  <c r="O12" i="4"/>
  <c r="P12" i="4"/>
  <c r="Q12" i="4"/>
  <c r="R12" i="4"/>
  <c r="S12" i="4"/>
  <c r="C13" i="4"/>
  <c r="D13" i="4"/>
  <c r="E13" i="4"/>
  <c r="F13" i="4"/>
  <c r="G13" i="4"/>
  <c r="H13" i="4"/>
  <c r="I13" i="4"/>
  <c r="J13" i="4"/>
  <c r="K13" i="4"/>
  <c r="L13" i="4"/>
  <c r="M13" i="4"/>
  <c r="N13" i="4"/>
  <c r="O13" i="4"/>
  <c r="P13" i="4"/>
  <c r="Q13" i="4"/>
  <c r="R13" i="4"/>
  <c r="S13" i="4"/>
  <c r="C14" i="4"/>
  <c r="D14" i="4"/>
  <c r="E14" i="4"/>
  <c r="F14" i="4"/>
  <c r="G14" i="4"/>
  <c r="H14" i="4"/>
  <c r="I14" i="4"/>
  <c r="J14" i="4"/>
  <c r="K14" i="4"/>
  <c r="L14" i="4"/>
  <c r="M14" i="4"/>
  <c r="N14" i="4"/>
  <c r="O14" i="4"/>
  <c r="P14" i="4"/>
  <c r="Q14" i="4"/>
  <c r="R14" i="4"/>
  <c r="S14" i="4"/>
  <c r="C15" i="4"/>
  <c r="D15" i="4"/>
  <c r="E15" i="4"/>
  <c r="F15" i="4"/>
  <c r="G15" i="4"/>
  <c r="H15" i="4"/>
  <c r="I15" i="4"/>
  <c r="J15" i="4"/>
  <c r="K15" i="4"/>
  <c r="L15" i="4"/>
  <c r="M15" i="4"/>
  <c r="N15" i="4"/>
  <c r="O15" i="4"/>
  <c r="P15" i="4"/>
  <c r="Q15" i="4"/>
  <c r="R15" i="4"/>
  <c r="S15" i="4"/>
  <c r="C16" i="4"/>
  <c r="D16" i="4"/>
  <c r="E16" i="4"/>
  <c r="F16" i="4"/>
  <c r="G16" i="4"/>
  <c r="H16" i="4"/>
  <c r="I16" i="4"/>
  <c r="J16" i="4"/>
  <c r="K16" i="4"/>
  <c r="L16" i="4"/>
  <c r="M16" i="4"/>
  <c r="N16" i="4"/>
  <c r="O16" i="4"/>
  <c r="P16" i="4"/>
  <c r="Q16" i="4"/>
  <c r="R16" i="4"/>
  <c r="S16" i="4"/>
  <c r="C17" i="4"/>
  <c r="D17" i="4"/>
  <c r="E17" i="4"/>
  <c r="F17" i="4"/>
  <c r="G17" i="4"/>
  <c r="H17" i="4"/>
  <c r="I17" i="4"/>
  <c r="J17" i="4"/>
  <c r="K17" i="4"/>
  <c r="L17" i="4"/>
  <c r="M17" i="4"/>
  <c r="N17" i="4"/>
  <c r="O17" i="4"/>
  <c r="P17" i="4"/>
  <c r="Q17" i="4"/>
  <c r="R17" i="4"/>
  <c r="S17" i="4"/>
  <c r="C18" i="4"/>
  <c r="D18" i="4"/>
  <c r="E18" i="4"/>
  <c r="F18" i="4"/>
  <c r="G18" i="4"/>
  <c r="H18" i="4"/>
  <c r="I18" i="4"/>
  <c r="J18" i="4"/>
  <c r="K18" i="4"/>
  <c r="L18" i="4"/>
  <c r="M18" i="4"/>
  <c r="N18" i="4"/>
  <c r="O18" i="4"/>
  <c r="P18" i="4"/>
  <c r="Q18" i="4"/>
  <c r="R18" i="4"/>
  <c r="S18" i="4"/>
  <c r="C19" i="4"/>
  <c r="D19" i="4"/>
  <c r="E19" i="4"/>
  <c r="F19" i="4"/>
  <c r="G19" i="4"/>
  <c r="H19" i="4"/>
  <c r="I19" i="4"/>
  <c r="J19" i="4"/>
  <c r="K19" i="4"/>
  <c r="L19" i="4"/>
  <c r="M19" i="4"/>
  <c r="N19" i="4"/>
  <c r="O19" i="4"/>
  <c r="P19" i="4"/>
  <c r="Q19" i="4"/>
  <c r="R19" i="4"/>
  <c r="S19" i="4"/>
  <c r="C20" i="4"/>
  <c r="D20" i="4"/>
  <c r="E20" i="4"/>
  <c r="F20" i="4"/>
  <c r="G20" i="4"/>
  <c r="H20" i="4"/>
  <c r="I20" i="4"/>
  <c r="J20" i="4"/>
  <c r="K20" i="4"/>
  <c r="L20" i="4"/>
  <c r="M20" i="4"/>
  <c r="N20" i="4"/>
  <c r="O20" i="4"/>
  <c r="P20" i="4"/>
  <c r="Q20" i="4"/>
  <c r="R20" i="4"/>
  <c r="S20" i="4"/>
  <c r="C21" i="4"/>
  <c r="D21" i="4"/>
  <c r="E21" i="4"/>
  <c r="F21" i="4"/>
  <c r="G21" i="4"/>
  <c r="H21" i="4"/>
  <c r="I21" i="4"/>
  <c r="J21" i="4"/>
  <c r="K21" i="4"/>
  <c r="L21" i="4"/>
  <c r="M21" i="4"/>
  <c r="N21" i="4"/>
  <c r="O21" i="4"/>
  <c r="P21" i="4"/>
  <c r="Q21" i="4"/>
  <c r="R21" i="4"/>
  <c r="S21" i="4"/>
  <c r="C22" i="4"/>
  <c r="D22" i="4"/>
  <c r="E22" i="4"/>
  <c r="F22" i="4"/>
  <c r="G22" i="4"/>
  <c r="H22" i="4"/>
  <c r="I22" i="4"/>
  <c r="J22" i="4"/>
  <c r="K22" i="4"/>
  <c r="L22" i="4"/>
  <c r="M22" i="4"/>
  <c r="N22" i="4"/>
  <c r="O22" i="4"/>
  <c r="P22" i="4"/>
  <c r="Q22" i="4"/>
  <c r="R22" i="4"/>
  <c r="S22" i="4"/>
  <c r="C23" i="4"/>
  <c r="D23" i="4"/>
  <c r="E23" i="4"/>
  <c r="F23" i="4"/>
  <c r="G23" i="4"/>
  <c r="H23" i="4"/>
  <c r="I23" i="4"/>
  <c r="J23" i="4"/>
  <c r="K23" i="4"/>
  <c r="L23" i="4"/>
  <c r="M23" i="4"/>
  <c r="N23" i="4"/>
  <c r="O23" i="4"/>
  <c r="P23" i="4"/>
  <c r="Q23" i="4"/>
  <c r="R23" i="4"/>
  <c r="S23" i="4"/>
  <c r="D3" i="4"/>
  <c r="E3" i="4"/>
  <c r="F3" i="4"/>
  <c r="G3" i="4"/>
  <c r="H3" i="4"/>
  <c r="I3" i="4"/>
  <c r="J3" i="4"/>
  <c r="K3" i="4"/>
  <c r="L3" i="4"/>
  <c r="M3" i="4"/>
  <c r="N3" i="4"/>
  <c r="O3" i="4"/>
  <c r="P3" i="4"/>
  <c r="Q3" i="4"/>
  <c r="R3" i="4"/>
  <c r="S3" i="4"/>
  <c r="C3" i="4"/>
  <c r="F86" i="2" l="1"/>
  <c r="G51" i="14" s="1"/>
  <c r="E86" i="2"/>
  <c r="G50" i="14" s="1"/>
  <c r="E77" i="11"/>
  <c r="E76" i="11"/>
  <c r="E79" i="11"/>
  <c r="E75" i="11"/>
  <c r="E78" i="11"/>
  <c r="H35" i="2"/>
  <c r="G19" i="3" s="1"/>
  <c r="E73" i="11"/>
  <c r="E86" i="11" l="1"/>
  <c r="G4" i="12" s="1"/>
  <c r="E85" i="11"/>
  <c r="F4" i="12" s="1"/>
  <c r="E83" i="11"/>
  <c r="D4" i="12" s="1"/>
  <c r="E84" i="11"/>
  <c r="E4" i="12" s="1"/>
  <c r="E82" i="11"/>
  <c r="C4" i="12" s="1"/>
  <c r="F79" i="11" l="1"/>
  <c r="F77" i="11"/>
  <c r="F76" i="11"/>
  <c r="D22" i="3"/>
  <c r="D6" i="14" s="1"/>
  <c r="E26" i="2" l="1"/>
  <c r="F27" i="2" s="1"/>
  <c r="G28" i="2" s="1"/>
  <c r="E3" i="2"/>
  <c r="F86" i="11"/>
  <c r="G5" i="12" s="1"/>
  <c r="G79" i="11"/>
  <c r="G77" i="11"/>
  <c r="G76" i="11"/>
  <c r="E22" i="3"/>
  <c r="D7" i="14" s="1"/>
  <c r="E51" i="2" l="1"/>
  <c r="H29" i="2"/>
  <c r="G13" i="3" s="1"/>
  <c r="F4" i="2"/>
  <c r="F52" i="2" s="1"/>
  <c r="F26" i="2"/>
  <c r="G27" i="2" s="1"/>
  <c r="H28" i="2" s="1"/>
  <c r="F3" i="2"/>
  <c r="F51" i="2" s="1"/>
  <c r="H79" i="11"/>
  <c r="G86" i="11"/>
  <c r="G6" i="12" s="1"/>
  <c r="H77" i="11"/>
  <c r="H76" i="11"/>
  <c r="G5" i="2" l="1"/>
  <c r="G4" i="2"/>
  <c r="I77" i="11"/>
  <c r="I79" i="11"/>
  <c r="I76" i="11"/>
  <c r="H86" i="11"/>
  <c r="G7" i="12" s="1"/>
  <c r="H5" i="2" l="1"/>
  <c r="H53" i="2" s="1"/>
  <c r="G52" i="2"/>
  <c r="H6" i="2"/>
  <c r="H54" i="2" s="1"/>
  <c r="G53" i="2"/>
  <c r="I86" i="11"/>
  <c r="G8" i="12" s="1"/>
  <c r="J77" i="11"/>
  <c r="J76" i="11"/>
  <c r="K76" i="11" l="1"/>
  <c r="K77" i="11"/>
  <c r="L77" i="11" l="1"/>
  <c r="L76" i="11"/>
  <c r="M77" i="11" l="1"/>
  <c r="M76" i="11"/>
  <c r="N77" i="11" l="1"/>
  <c r="N76" i="11"/>
  <c r="O76" i="11" l="1"/>
  <c r="O77" i="11"/>
  <c r="P77" i="11" l="1"/>
  <c r="P76" i="11"/>
  <c r="C22" i="3"/>
  <c r="D5" i="14" s="1"/>
  <c r="D3" i="2" l="1"/>
  <c r="D26" i="2"/>
  <c r="E27" i="2" s="1"/>
  <c r="F28" i="2" s="1"/>
  <c r="Q77" i="11"/>
  <c r="Q76" i="11"/>
  <c r="C44" i="11"/>
  <c r="D51" i="2" l="1"/>
  <c r="G29" i="2"/>
  <c r="D48" i="2"/>
  <c r="G5" i="14" s="1"/>
  <c r="E4" i="2"/>
  <c r="E52" i="2" s="1"/>
  <c r="R76" i="11"/>
  <c r="R77" i="11"/>
  <c r="S77" i="11"/>
  <c r="C43" i="11"/>
  <c r="E73" i="2" l="1"/>
  <c r="E75" i="2"/>
  <c r="E82" i="2" s="1"/>
  <c r="C50" i="14" s="1"/>
  <c r="E78" i="2"/>
  <c r="E85" i="2" s="1"/>
  <c r="F50" i="14" s="1"/>
  <c r="C6" i="14"/>
  <c r="C27" i="14"/>
  <c r="E5" i="14"/>
  <c r="D27" i="14" s="1"/>
  <c r="D75" i="2"/>
  <c r="D82" i="2" s="1"/>
  <c r="C49" i="14" s="1"/>
  <c r="D78" i="2"/>
  <c r="D85" i="2" s="1"/>
  <c r="F49" i="14" s="1"/>
  <c r="D73" i="2"/>
  <c r="H30" i="2"/>
  <c r="G14" i="3" s="1"/>
  <c r="F13" i="3"/>
  <c r="F5" i="2"/>
  <c r="F53" i="2" s="1"/>
  <c r="E48" i="2"/>
  <c r="G6" i="14" s="1"/>
  <c r="F78" i="11"/>
  <c r="F85" i="11" s="1"/>
  <c r="F5" i="12" s="1"/>
  <c r="F75" i="11"/>
  <c r="F48" i="11"/>
  <c r="C46" i="11"/>
  <c r="C45" i="11"/>
  <c r="E6" i="14" l="1"/>
  <c r="D28" i="14" s="1"/>
  <c r="E28" i="14"/>
  <c r="F78" i="2"/>
  <c r="F85" i="2" s="1"/>
  <c r="F51" i="14" s="1"/>
  <c r="F73" i="2"/>
  <c r="F75" i="2"/>
  <c r="F82" i="2" s="1"/>
  <c r="C51" i="14" s="1"/>
  <c r="C28" i="14"/>
  <c r="C7" i="14"/>
  <c r="D83" i="2"/>
  <c r="D49" i="14" s="1"/>
  <c r="D84" i="2"/>
  <c r="E49" i="14" s="1"/>
  <c r="E83" i="2"/>
  <c r="D50" i="14" s="1"/>
  <c r="E84" i="2"/>
  <c r="E50" i="14" s="1"/>
  <c r="G6" i="2"/>
  <c r="F48" i="2"/>
  <c r="G7" i="14" s="1"/>
  <c r="C29" i="14" s="1"/>
  <c r="T77" i="11"/>
  <c r="F83" i="11"/>
  <c r="D5" i="12" s="1"/>
  <c r="F84" i="11"/>
  <c r="E5" i="12" s="1"/>
  <c r="F82" i="11"/>
  <c r="C5" i="12" s="1"/>
  <c r="G73" i="11"/>
  <c r="G84" i="11" s="1"/>
  <c r="E6" i="12" s="1"/>
  <c r="G78" i="11"/>
  <c r="G85" i="11" s="1"/>
  <c r="F6" i="12" s="1"/>
  <c r="G75" i="11"/>
  <c r="C22" i="11"/>
  <c r="C21" i="11"/>
  <c r="C23" i="11"/>
  <c r="G48" i="11"/>
  <c r="C20" i="11"/>
  <c r="F84" i="2" l="1"/>
  <c r="E51" i="14" s="1"/>
  <c r="F83" i="2"/>
  <c r="D51" i="14" s="1"/>
  <c r="E29" i="14"/>
  <c r="E7" i="14"/>
  <c r="D29" i="14" s="1"/>
  <c r="H7" i="2"/>
  <c r="H55" i="2" s="1"/>
  <c r="G54" i="2"/>
  <c r="U77" i="11"/>
  <c r="G83" i="11"/>
  <c r="D6" i="12" s="1"/>
  <c r="H78" i="11"/>
  <c r="H85" i="11" s="1"/>
  <c r="F7" i="12" s="1"/>
  <c r="H75" i="11"/>
  <c r="H73" i="11"/>
  <c r="H48" i="11"/>
  <c r="G82" i="11"/>
  <c r="C6" i="12" s="1"/>
  <c r="C41" i="11"/>
  <c r="F22" i="3"/>
  <c r="G3" i="2" l="1"/>
  <c r="G51" i="2" s="1"/>
  <c r="G26" i="2"/>
  <c r="H27" i="2" s="1"/>
  <c r="H82" i="11"/>
  <c r="C7" i="12" s="1"/>
  <c r="H84" i="11"/>
  <c r="E7" i="12" s="1"/>
  <c r="H83" i="11"/>
  <c r="D7" i="12" s="1"/>
  <c r="C17" i="11"/>
  <c r="C40" i="11"/>
  <c r="J79" i="11"/>
  <c r="J86" i="11" s="1"/>
  <c r="G9" i="12" s="1"/>
  <c r="G22" i="3"/>
  <c r="H26" i="2" l="1"/>
  <c r="H3" i="2"/>
  <c r="H51" i="2" s="1"/>
  <c r="G48" i="2"/>
  <c r="H4" i="2"/>
  <c r="H52" i="2" s="1"/>
  <c r="C18" i="11"/>
  <c r="H22" i="3"/>
  <c r="K79" i="11"/>
  <c r="K86" i="11" s="1"/>
  <c r="G10" i="12" s="1"/>
  <c r="H48" i="2" l="1"/>
  <c r="I48" i="11"/>
  <c r="L79" i="11"/>
  <c r="L86" i="11" s="1"/>
  <c r="G11" i="12" s="1"/>
  <c r="J48" i="11" l="1"/>
  <c r="I75" i="11"/>
  <c r="I73" i="11"/>
  <c r="I78" i="11"/>
  <c r="I85" i="11" s="1"/>
  <c r="F8" i="12" s="1"/>
  <c r="I22" i="3"/>
  <c r="I82" i="11" l="1"/>
  <c r="C8" i="12" s="1"/>
  <c r="K48" i="11"/>
  <c r="I83" i="11"/>
  <c r="D8" i="12" s="1"/>
  <c r="I84" i="11"/>
  <c r="E8" i="12" s="1"/>
  <c r="J75" i="11"/>
  <c r="J73" i="11"/>
  <c r="J78" i="11"/>
  <c r="J85" i="11" s="1"/>
  <c r="F9" i="12" s="1"/>
  <c r="J82" i="11" l="1"/>
  <c r="C9" i="12" s="1"/>
  <c r="J84" i="11"/>
  <c r="E9" i="12" s="1"/>
  <c r="J83" i="11"/>
  <c r="D9" i="12" s="1"/>
  <c r="K78" i="11"/>
  <c r="K85" i="11" s="1"/>
  <c r="F10" i="12" s="1"/>
  <c r="K75" i="11"/>
  <c r="K73" i="11"/>
  <c r="J22" i="3"/>
  <c r="M79" i="11" l="1"/>
  <c r="M86" i="11" s="1"/>
  <c r="G12" i="12" s="1"/>
  <c r="K83" i="11"/>
  <c r="D10" i="12" s="1"/>
  <c r="K84" i="11"/>
  <c r="E10" i="12" s="1"/>
  <c r="L48" i="11"/>
  <c r="K82" i="11"/>
  <c r="C10" i="12" s="1"/>
  <c r="K22" i="3"/>
  <c r="N79" i="11" l="1"/>
  <c r="N86" i="11" s="1"/>
  <c r="G13" i="12" s="1"/>
  <c r="L78" i="11"/>
  <c r="L85" i="11" s="1"/>
  <c r="F11" i="12" s="1"/>
  <c r="L75" i="11"/>
  <c r="L73" i="11"/>
  <c r="L82" i="11" l="1"/>
  <c r="C11" i="12" s="1"/>
  <c r="M48" i="11"/>
  <c r="L83" i="11"/>
  <c r="D11" i="12" s="1"/>
  <c r="L84" i="11"/>
  <c r="E11" i="12" s="1"/>
  <c r="L22" i="3"/>
  <c r="O79" i="11" l="1"/>
  <c r="O86" i="11" s="1"/>
  <c r="G14" i="12" s="1"/>
  <c r="M75" i="11"/>
  <c r="M73" i="11"/>
  <c r="M78" i="11"/>
  <c r="M85" i="11" s="1"/>
  <c r="F12" i="12" s="1"/>
  <c r="N48" i="11"/>
  <c r="S76" i="11"/>
  <c r="P79" i="11" l="1"/>
  <c r="P86" i="11" s="1"/>
  <c r="G15" i="12" s="1"/>
  <c r="O48" i="11"/>
  <c r="M84" i="11"/>
  <c r="E12" i="12" s="1"/>
  <c r="M83" i="11"/>
  <c r="D12" i="12" s="1"/>
  <c r="N75" i="11"/>
  <c r="N73" i="11"/>
  <c r="N78" i="11"/>
  <c r="N85" i="11" s="1"/>
  <c r="F13" i="12" s="1"/>
  <c r="M82" i="11"/>
  <c r="C12" i="12" s="1"/>
  <c r="M22" i="3"/>
  <c r="T76" i="11"/>
  <c r="N82" i="11" l="1"/>
  <c r="C13" i="12" s="1"/>
  <c r="O75" i="11"/>
  <c r="O78" i="11"/>
  <c r="O85" i="11" s="1"/>
  <c r="F14" i="12" s="1"/>
  <c r="O73" i="11"/>
  <c r="N84" i="11"/>
  <c r="E13" i="12" s="1"/>
  <c r="N83" i="11"/>
  <c r="D13" i="12" s="1"/>
  <c r="C19" i="11"/>
  <c r="U76" i="11"/>
  <c r="C42" i="11"/>
  <c r="N22" i="3"/>
  <c r="Q79" i="11" l="1"/>
  <c r="Q86" i="11" s="1"/>
  <c r="G16" i="12" s="1"/>
  <c r="V77" i="11"/>
  <c r="O82" i="11"/>
  <c r="C14" i="12" s="1"/>
  <c r="O83" i="11"/>
  <c r="D14" i="12" s="1"/>
  <c r="O84" i="11"/>
  <c r="E14" i="12" s="1"/>
  <c r="O22" i="3"/>
  <c r="P22" i="3" l="1"/>
  <c r="P48" i="11"/>
  <c r="C14" i="11"/>
  <c r="C37" i="11"/>
  <c r="C39" i="11"/>
  <c r="C38" i="11"/>
  <c r="R79" i="11" l="1"/>
  <c r="R86" i="11" s="1"/>
  <c r="G17" i="12" s="1"/>
  <c r="Q48" i="11"/>
  <c r="P78" i="11"/>
  <c r="P85" i="11" s="1"/>
  <c r="F15" i="12" s="1"/>
  <c r="P75" i="11"/>
  <c r="P73" i="11"/>
  <c r="C16" i="11"/>
  <c r="V76" i="11"/>
  <c r="C15" i="11"/>
  <c r="C36" i="11"/>
  <c r="S79" i="11" l="1"/>
  <c r="S86" i="11" s="1"/>
  <c r="G18" i="12" s="1"/>
  <c r="R75" i="11"/>
  <c r="R73" i="11"/>
  <c r="R78" i="11"/>
  <c r="R85" i="11" s="1"/>
  <c r="F17" i="12" s="1"/>
  <c r="P84" i="11"/>
  <c r="E15" i="12" s="1"/>
  <c r="P83" i="11"/>
  <c r="D15" i="12" s="1"/>
  <c r="R48" i="11"/>
  <c r="P82" i="11"/>
  <c r="C15" i="12" s="1"/>
  <c r="Q75" i="11"/>
  <c r="Q73" i="11"/>
  <c r="Q78" i="11"/>
  <c r="Q85" i="11" s="1"/>
  <c r="F16" i="12" s="1"/>
  <c r="C13" i="11"/>
  <c r="C33" i="11"/>
  <c r="C34" i="11"/>
  <c r="C35" i="11"/>
  <c r="T79" i="11" l="1"/>
  <c r="T86" i="11" s="1"/>
  <c r="G19" i="12" s="1"/>
  <c r="S48" i="11"/>
  <c r="R84" i="11"/>
  <c r="E17" i="12" s="1"/>
  <c r="R83" i="11"/>
  <c r="D17" i="12" s="1"/>
  <c r="Q83" i="11"/>
  <c r="D16" i="12" s="1"/>
  <c r="Q84" i="11"/>
  <c r="E16" i="12" s="1"/>
  <c r="R82" i="11"/>
  <c r="C17" i="12" s="1"/>
  <c r="Q82" i="11"/>
  <c r="C16" i="12" s="1"/>
  <c r="C10" i="11"/>
  <c r="C12" i="11"/>
  <c r="C11" i="11"/>
  <c r="Q22" i="3"/>
  <c r="C30" i="11"/>
  <c r="C32" i="11"/>
  <c r="S75" i="11" l="1"/>
  <c r="S78" i="11"/>
  <c r="S85" i="11" s="1"/>
  <c r="F18" i="12" s="1"/>
  <c r="S73" i="11"/>
  <c r="C9" i="11"/>
  <c r="C7" i="11"/>
  <c r="C31" i="11"/>
  <c r="R22" i="3"/>
  <c r="C29" i="11"/>
  <c r="U79" i="11" l="1"/>
  <c r="U86" i="11" s="1"/>
  <c r="G20" i="12" s="1"/>
  <c r="S82" i="11"/>
  <c r="C18" i="12" s="1"/>
  <c r="S84" i="11"/>
  <c r="E18" i="12" s="1"/>
  <c r="S83" i="11"/>
  <c r="D18" i="12" s="1"/>
  <c r="C6" i="11"/>
  <c r="C8" i="11"/>
  <c r="V79" i="11"/>
  <c r="V86" i="11" s="1"/>
  <c r="G21" i="12" s="1"/>
  <c r="T48" i="11" l="1"/>
  <c r="S22" i="3"/>
  <c r="C28" i="11"/>
  <c r="C27" i="11"/>
  <c r="T78" i="11" l="1"/>
  <c r="T85" i="11" s="1"/>
  <c r="F19" i="12" s="1"/>
  <c r="T75" i="11"/>
  <c r="T73" i="11"/>
  <c r="U48" i="11"/>
  <c r="C5" i="11"/>
  <c r="C4" i="11"/>
  <c r="C26" i="11"/>
  <c r="V48" i="11" l="1"/>
  <c r="T84" i="11"/>
  <c r="E19" i="12" s="1"/>
  <c r="T83" i="11"/>
  <c r="D19" i="12" s="1"/>
  <c r="T82" i="11"/>
  <c r="C19" i="12" s="1"/>
  <c r="U75" i="11"/>
  <c r="U73" i="11"/>
  <c r="U78" i="11"/>
  <c r="U85" i="11" s="1"/>
  <c r="F20" i="12" s="1"/>
  <c r="C3" i="11"/>
  <c r="U82" i="11" l="1"/>
  <c r="C20" i="12" s="1"/>
  <c r="V75" i="11"/>
  <c r="V73" i="11"/>
  <c r="V78" i="11"/>
  <c r="V85" i="11" s="1"/>
  <c r="F21" i="12" s="1"/>
  <c r="U84" i="11"/>
  <c r="E20" i="12" s="1"/>
  <c r="U83" i="11"/>
  <c r="D20" i="12" s="1"/>
  <c r="V84" i="11" l="1"/>
  <c r="E21" i="12" s="1"/>
  <c r="V83" i="11"/>
  <c r="D21" i="12" s="1"/>
  <c r="V82" i="11"/>
  <c r="C21" i="12" s="1"/>
</calcChain>
</file>

<file path=xl/sharedStrings.xml><?xml version="1.0" encoding="utf-8"?>
<sst xmlns="http://schemas.openxmlformats.org/spreadsheetml/2006/main" count="798" uniqueCount="103">
  <si>
    <t>15-19</t>
  </si>
  <si>
    <t>20-24</t>
  </si>
  <si>
    <t>25-29</t>
  </si>
  <si>
    <t>30-34</t>
  </si>
  <si>
    <t>35-39</t>
  </si>
  <si>
    <t>40-44</t>
  </si>
  <si>
    <t>45-49</t>
  </si>
  <si>
    <t>0-4</t>
  </si>
  <si>
    <t>5-9</t>
  </si>
  <si>
    <t>10-14</t>
  </si>
  <si>
    <t>50-54</t>
  </si>
  <si>
    <t>55-59</t>
  </si>
  <si>
    <t>60-64</t>
  </si>
  <si>
    <t>65-69</t>
  </si>
  <si>
    <t>70-74</t>
  </si>
  <si>
    <t>75-79</t>
  </si>
  <si>
    <t>80-84</t>
  </si>
  <si>
    <t>85-89</t>
  </si>
  <si>
    <t>90-94</t>
  </si>
  <si>
    <t>95-99</t>
  </si>
  <si>
    <t>100-+</t>
  </si>
  <si>
    <t>Hommes</t>
  </si>
  <si>
    <t>Femmes</t>
  </si>
  <si>
    <t>2011-2015</t>
  </si>
  <si>
    <t>2016-2020</t>
  </si>
  <si>
    <t>2021-2025</t>
  </si>
  <si>
    <t>2026-2030</t>
  </si>
  <si>
    <t>2031-2035</t>
  </si>
  <si>
    <t>2036-2040</t>
  </si>
  <si>
    <t>2041-2045</t>
  </si>
  <si>
    <t>2046-2050</t>
  </si>
  <si>
    <t>2051-2055</t>
  </si>
  <si>
    <t>2056-2060</t>
  </si>
  <si>
    <t>2061-2065</t>
  </si>
  <si>
    <t>2066-2070</t>
  </si>
  <si>
    <t>2071-2075</t>
  </si>
  <si>
    <t>2076-2080</t>
  </si>
  <si>
    <t>2081-2085</t>
  </si>
  <si>
    <t>2086-2090</t>
  </si>
  <si>
    <t>2091-2095</t>
  </si>
  <si>
    <t>2096-2100</t>
  </si>
  <si>
    <t>Solde migratoire annuel moyen</t>
  </si>
  <si>
    <t>Période</t>
  </si>
  <si>
    <t>Début période</t>
  </si>
  <si>
    <t>Fin période</t>
  </si>
  <si>
    <t>-</t>
  </si>
  <si>
    <t>Total</t>
  </si>
  <si>
    <t>95-+</t>
  </si>
  <si>
    <t>naissances</t>
  </si>
  <si>
    <t>Naissances</t>
  </si>
  <si>
    <t>Année de la pyramide:</t>
  </si>
  <si>
    <t>Hypothèses:</t>
  </si>
  <si>
    <t>Population au début</t>
  </si>
  <si>
    <t>Population à la fin</t>
  </si>
  <si>
    <t>Variation annuelle moyenne de la population (en %)</t>
  </si>
  <si>
    <t>Pourcentages des principaux groupes d'âge et rapports de dépendance</t>
  </si>
  <si>
    <t>Année</t>
  </si>
  <si>
    <t>Bilan de la population résidante permanente</t>
  </si>
  <si>
    <t>Naissances, nombre annuel moyen</t>
  </si>
  <si>
    <t>Décès, nombre annuel moyen</t>
  </si>
  <si>
    <t>Accroissement naturel annuel moyen pour 100 habitants</t>
  </si>
  <si>
    <t>Solde migratoire annuel moyen pour 100 habitants</t>
  </si>
  <si>
    <t>Variations</t>
  </si>
  <si>
    <t>Proportion des 0-14 ans (en %)</t>
  </si>
  <si>
    <t>Proportion des 65 ans ou plus (en %)</t>
  </si>
  <si>
    <t>Proportion des 80 ans ou plus (en %)</t>
  </si>
  <si>
    <t>0-14</t>
  </si>
  <si>
    <t>65-+</t>
  </si>
  <si>
    <t>80-+</t>
  </si>
  <si>
    <t>0-19/20-64</t>
  </si>
  <si>
    <t>65-+/20-64</t>
  </si>
  <si>
    <t>0-19</t>
  </si>
  <si>
    <t>20-64</t>
  </si>
  <si>
    <t>% 0-14</t>
  </si>
  <si>
    <t>% 65-+</t>
  </si>
  <si>
    <t>% 80-+</t>
  </si>
  <si>
    <t>Nombre de personnes de 0 à 19 ans pour 100 personnes de 20 à 64 ans</t>
  </si>
  <si>
    <t>Nombre de personnes de 65 ans ou plus pour 100 personnes de 20 à 64 ans</t>
  </si>
  <si>
    <t>*</t>
  </si>
  <si>
    <t>Horizon des graphiques:</t>
  </si>
  <si>
    <t>Les onglets: Mode d'emploi, Hypothèses et Graphiques, Résultats et Indicateurs</t>
  </si>
  <si>
    <t>**</t>
  </si>
  <si>
    <t>MODE D'EMPLOI</t>
  </si>
  <si>
    <t>ETAPE 1. Choisir l'horizon temporel ici:</t>
  </si>
  <si>
    <t>ETAPE 2. Dans la feuille "Hypothèses et Graphiques",  indiquer dans le tableau des hypothèses les valeurs moyennes des différents indicateurs démographiques*</t>
  </si>
  <si>
    <t>ETAPE 3. Consulter les graphiques sur la feuille "Hypothèses et Graphiques" et les tableaux dans la feuille "Résultats et Indicateurs".</t>
  </si>
  <si>
    <t>REMARQUE: Pour effectuer cette simulation, il n'est nécessaire d'ouvrir que les trois premières feuilles**. Les autres feuilles contiennent les calculs détaillés.</t>
  </si>
  <si>
    <r>
      <t xml:space="preserve">Cliquer sur la cellule affichant une année </t>
    </r>
    <r>
      <rPr>
        <sz val="11"/>
        <color rgb="FF00B050"/>
        <rFont val="Arial"/>
        <family val="2"/>
      </rPr>
      <t>en vert</t>
    </r>
    <r>
      <rPr>
        <sz val="11"/>
        <color rgb="FFFF0000"/>
        <rFont val="Arial"/>
        <family val="2"/>
      </rPr>
      <t>, cliquer ensuite sur le carré à droite qui s'est affiché et choisir dans la liste déroulante qui s'affiche une année parmi celles proposées.</t>
    </r>
  </si>
  <si>
    <t>Attention, les valeurs possibles sont limitées aux valeurs proposées dans les listes déroulantes. =&gt;</t>
  </si>
  <si>
    <t>Cliquer sur une cellule du tableau des hypothèses, cliquer ensuite sur le carré à droite qui s'est affiché et choisir dans la liste déroulante qui s'affiche une valeur parmi celles proposées.</t>
  </si>
  <si>
    <t>N.B.: Choisir l'horizon temporel des graphiques et l'année de la pyramide dans les listes déroulantes au-dessus de ces graphiques.</t>
  </si>
  <si>
    <t>pour chaque période jusqu'à l'horizon temporel. Par exemple, si vous fixez l'horizon temporel à 2050, il faut entrer les valeurs pour les périodes allant de 2016-2020 à 2046-2050.</t>
  </si>
  <si>
    <t>SIMULATION DE L'ÉVOLUTION DÉMOGRAPHIQUE DE LA SUISSE</t>
  </si>
  <si>
    <t>N.B.: Pour gagner du temps, il est possible de tirer une valeur sur plusieurs cellules ou de faire évoluer les valeurs selon une variation constante en sélectionnant deux cellules adjacentes</t>
  </si>
  <si>
    <t>et en tirant ensuite cette sélection.</t>
  </si>
  <si>
    <t>Ø espérance de vie des hommes</t>
  </si>
  <si>
    <t>Ø espérance de vie des femmes</t>
  </si>
  <si>
    <t>Ø solde migratoire</t>
  </si>
  <si>
    <t>Ø nombre d'enfants par femme</t>
  </si>
  <si>
    <t>Ø solde migratoire = Immigrations annuelles - émigrations annuelles</t>
  </si>
  <si>
    <t>Ø espérance de vie des femmes = Espérance de vie des femmes à la naissance</t>
  </si>
  <si>
    <t>Ø espérance de vie des hommes = Espérance de vie des hommes à la naissance</t>
  </si>
  <si>
    <t xml:space="preserve">Ø nombre d'enfants par femme = Indicateur conjoncturel de fécondité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</si>
</sst>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00000"/>
    <numFmt numFmtId="165" formatCode="0.0"/>
    <numFmt numFmtId="166" formatCode="#,##0.0"/>
  </numFmts>
  <fonts count="9" x14ac:knownFonts="1">
    <font>
      <sz val="11"/>
      <color theme="1"/>
      <name val="Arial"/>
      <family val="2"/>
    </font>
    <font>
      <b/>
      <sz val="11"/>
      <color theme="1"/>
      <name val="Arial"/>
      <family val="2"/>
    </font>
    <font>
      <sz val="11"/>
      <color rgb="FFFF0000"/>
      <name val="Arial"/>
      <family val="2"/>
    </font>
    <font>
      <b/>
      <sz val="11"/>
      <color rgb="FF00B050"/>
      <name val="Arial"/>
      <family val="2"/>
    </font>
    <font>
      <sz val="11"/>
      <color rgb="FF00B050"/>
      <name val="Arial"/>
      <family val="2"/>
    </font>
    <font>
      <b/>
      <sz val="11"/>
      <name val="Arial"/>
      <family val="2"/>
    </font>
    <font>
      <sz val="14"/>
      <color theme="1"/>
      <name val="Arial"/>
      <family val="2"/>
    </font>
    <font>
      <b/>
      <sz val="18"/>
      <color rgb="FF0070C0"/>
      <name val="Arial"/>
      <family val="2"/>
    </font>
    <font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5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 style="double">
        <color indexed="64"/>
      </left>
      <right style="thick">
        <color theme="0"/>
      </right>
      <top style="double">
        <color indexed="64"/>
      </top>
      <bottom style="thick">
        <color theme="0"/>
      </bottom>
      <diagonal/>
    </border>
    <border>
      <left style="thick">
        <color theme="0"/>
      </left>
      <right style="thick">
        <color theme="0"/>
      </right>
      <top style="double">
        <color indexed="64"/>
      </top>
      <bottom style="thick">
        <color theme="0"/>
      </bottom>
      <diagonal/>
    </border>
    <border>
      <left style="thick">
        <color theme="0"/>
      </left>
      <right style="double">
        <color indexed="64"/>
      </right>
      <top style="double">
        <color indexed="64"/>
      </top>
      <bottom style="thick">
        <color theme="0"/>
      </bottom>
      <diagonal/>
    </border>
    <border>
      <left style="double">
        <color indexed="64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double">
        <color indexed="64"/>
      </right>
      <top/>
      <bottom style="thick">
        <color theme="0"/>
      </bottom>
      <diagonal/>
    </border>
    <border>
      <left style="double">
        <color indexed="64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double">
        <color indexed="64"/>
      </right>
      <top style="thick">
        <color theme="0"/>
      </top>
      <bottom style="thick">
        <color theme="0"/>
      </bottom>
      <diagonal/>
    </border>
    <border>
      <left style="double">
        <color indexed="64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double">
        <color indexed="64"/>
      </right>
      <top style="thick">
        <color theme="0"/>
      </top>
      <bottom/>
      <diagonal/>
    </border>
    <border>
      <left style="double">
        <color indexed="64"/>
      </left>
      <right style="thick">
        <color theme="0"/>
      </right>
      <top style="thick">
        <color theme="0"/>
      </top>
      <bottom style="double">
        <color indexed="64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double">
        <color indexed="64"/>
      </bottom>
      <diagonal/>
    </border>
    <border>
      <left style="thick">
        <color theme="0"/>
      </left>
      <right style="double">
        <color indexed="64"/>
      </right>
      <top style="thick">
        <color theme="0"/>
      </top>
      <bottom style="double">
        <color indexed="64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n">
        <color theme="0"/>
      </bottom>
      <diagonal/>
    </border>
    <border>
      <left/>
      <right style="thick">
        <color theme="0"/>
      </right>
      <top style="thick">
        <color theme="0"/>
      </top>
      <bottom style="thin">
        <color theme="0"/>
      </bottom>
      <diagonal/>
    </border>
    <border>
      <left style="thick">
        <color theme="0"/>
      </left>
      <right style="thick">
        <color theme="0"/>
      </right>
      <top style="thin">
        <color theme="0"/>
      </top>
      <bottom style="thin">
        <color theme="0"/>
      </bottom>
      <diagonal/>
    </border>
    <border>
      <left style="thick">
        <color theme="0"/>
      </left>
      <right/>
      <top style="thick">
        <color theme="0"/>
      </top>
      <bottom style="thin">
        <color theme="0"/>
      </bottom>
      <diagonal/>
    </border>
    <border>
      <left style="thick">
        <color theme="0"/>
      </left>
      <right style="thin">
        <color theme="0"/>
      </right>
      <top style="thick">
        <color theme="0"/>
      </top>
      <bottom style="thick">
        <color theme="0"/>
      </bottom>
      <diagonal/>
    </border>
    <border>
      <left/>
      <right style="thick">
        <color theme="0"/>
      </right>
      <top/>
      <bottom style="thick">
        <color theme="0"/>
      </bottom>
      <diagonal/>
    </border>
  </borders>
  <cellStyleXfs count="1">
    <xf numFmtId="0" fontId="0" fillId="0" borderId="0"/>
  </cellStyleXfs>
  <cellXfs count="113">
    <xf numFmtId="0" fontId="0" fillId="0" borderId="0" xfId="0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2" borderId="7" xfId="0" applyFill="1" applyBorder="1"/>
    <xf numFmtId="0" fontId="0" fillId="2" borderId="9" xfId="0" applyFill="1" applyBorder="1"/>
    <xf numFmtId="0" fontId="0" fillId="2" borderId="2" xfId="0" applyFill="1" applyBorder="1"/>
    <xf numFmtId="0" fontId="0" fillId="0" borderId="13" xfId="0" applyBorder="1"/>
    <xf numFmtId="0" fontId="0" fillId="0" borderId="13" xfId="0" quotePrefix="1" applyBorder="1"/>
    <xf numFmtId="16" fontId="0" fillId="0" borderId="5" xfId="0" quotePrefix="1" applyNumberFormat="1" applyBorder="1"/>
    <xf numFmtId="17" fontId="0" fillId="0" borderId="5" xfId="0" quotePrefix="1" applyNumberFormat="1" applyBorder="1"/>
    <xf numFmtId="3" fontId="0" fillId="0" borderId="0" xfId="0" applyNumberFormat="1"/>
    <xf numFmtId="3" fontId="0" fillId="2" borderId="11" xfId="0" applyNumberFormat="1" applyFill="1" applyBorder="1"/>
    <xf numFmtId="3" fontId="0" fillId="2" borderId="0" xfId="0" applyNumberFormat="1" applyFill="1"/>
    <xf numFmtId="0" fontId="0" fillId="0" borderId="0" xfId="0" applyBorder="1"/>
    <xf numFmtId="0" fontId="0" fillId="0" borderId="0" xfId="0" applyFill="1" applyBorder="1"/>
    <xf numFmtId="17" fontId="0" fillId="0" borderId="0" xfId="0" quotePrefix="1" applyNumberFormat="1" applyBorder="1"/>
    <xf numFmtId="0" fontId="0" fillId="0" borderId="0" xfId="0" quotePrefix="1" applyBorder="1"/>
    <xf numFmtId="0" fontId="0" fillId="0" borderId="6" xfId="0" applyFill="1" applyBorder="1"/>
    <xf numFmtId="164" fontId="0" fillId="0" borderId="0" xfId="0" applyNumberFormat="1" applyBorder="1"/>
    <xf numFmtId="164" fontId="0" fillId="0" borderId="0" xfId="0" applyNumberFormat="1"/>
    <xf numFmtId="0" fontId="0" fillId="0" borderId="0" xfId="0" quotePrefix="1" applyBorder="1" applyAlignment="1">
      <alignment horizontal="right"/>
    </xf>
    <xf numFmtId="0" fontId="0" fillId="0" borderId="8" xfId="0" applyBorder="1" applyAlignment="1">
      <alignment horizontal="right"/>
    </xf>
    <xf numFmtId="165" fontId="0" fillId="0" borderId="0" xfId="0" applyNumberFormat="1" applyBorder="1"/>
    <xf numFmtId="16" fontId="0" fillId="0" borderId="0" xfId="0" quotePrefix="1" applyNumberFormat="1" applyBorder="1"/>
    <xf numFmtId="165" fontId="0" fillId="0" borderId="10" xfId="0" applyNumberFormat="1" applyBorder="1" applyAlignment="1">
      <alignment horizontal="right"/>
    </xf>
    <xf numFmtId="3" fontId="0" fillId="0" borderId="0" xfId="0" applyNumberFormat="1" applyBorder="1"/>
    <xf numFmtId="3" fontId="0" fillId="0" borderId="12" xfId="0" applyNumberFormat="1" applyBorder="1" applyAlignment="1">
      <alignment horizontal="right"/>
    </xf>
    <xf numFmtId="3" fontId="0" fillId="3" borderId="0" xfId="0" applyNumberFormat="1" applyFill="1"/>
    <xf numFmtId="3" fontId="0" fillId="0" borderId="0" xfId="0" quotePrefix="1" applyNumberFormat="1" applyBorder="1"/>
    <xf numFmtId="0" fontId="0" fillId="0" borderId="1" xfId="0" applyBorder="1" applyAlignment="1">
      <alignment horizontal="center" vertical="center"/>
    </xf>
    <xf numFmtId="0" fontId="0" fillId="0" borderId="15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3" fontId="0" fillId="0" borderId="17" xfId="0" applyNumberFormat="1" applyBorder="1"/>
    <xf numFmtId="3" fontId="0" fillId="0" borderId="18" xfId="0" applyNumberFormat="1" applyBorder="1"/>
    <xf numFmtId="0" fontId="0" fillId="0" borderId="19" xfId="0" applyBorder="1"/>
    <xf numFmtId="0" fontId="0" fillId="0" borderId="20" xfId="0" applyBorder="1"/>
    <xf numFmtId="0" fontId="0" fillId="0" borderId="7" xfId="0" applyBorder="1"/>
    <xf numFmtId="0" fontId="0" fillId="0" borderId="9" xfId="0" applyBorder="1"/>
    <xf numFmtId="0" fontId="0" fillId="0" borderId="11" xfId="0" applyBorder="1"/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 wrapText="1"/>
    </xf>
    <xf numFmtId="0" fontId="0" fillId="0" borderId="23" xfId="0" applyBorder="1" applyAlignment="1">
      <alignment horizontal="center" vertical="center"/>
    </xf>
    <xf numFmtId="3" fontId="0" fillId="0" borderId="24" xfId="0" applyNumberFormat="1" applyBorder="1"/>
    <xf numFmtId="3" fontId="0" fillId="0" borderId="25" xfId="0" applyNumberFormat="1" applyBorder="1"/>
    <xf numFmtId="3" fontId="0" fillId="0" borderId="26" xfId="0" applyNumberFormat="1" applyBorder="1"/>
    <xf numFmtId="3" fontId="0" fillId="0" borderId="27" xfId="0" applyNumberFormat="1" applyBorder="1"/>
    <xf numFmtId="3" fontId="0" fillId="0" borderId="28" xfId="0" applyNumberFormat="1" applyBorder="1"/>
    <xf numFmtId="3" fontId="0" fillId="0" borderId="29" xfId="0" applyNumberFormat="1" applyBorder="1"/>
    <xf numFmtId="3" fontId="0" fillId="0" borderId="30" xfId="0" applyNumberFormat="1" applyBorder="1"/>
    <xf numFmtId="165" fontId="0" fillId="0" borderId="17" xfId="0" applyNumberFormat="1" applyBorder="1"/>
    <xf numFmtId="0" fontId="0" fillId="0" borderId="0" xfId="0" applyBorder="1" applyAlignment="1">
      <alignment horizontal="center" vertical="center" wrapText="1"/>
    </xf>
    <xf numFmtId="165" fontId="0" fillId="0" borderId="18" xfId="0" applyNumberFormat="1" applyBorder="1"/>
    <xf numFmtId="0" fontId="0" fillId="0" borderId="31" xfId="0" applyBorder="1" applyAlignment="1">
      <alignment horizontal="center" vertical="center" wrapText="1"/>
    </xf>
    <xf numFmtId="0" fontId="0" fillId="0" borderId="23" xfId="0" applyBorder="1" applyAlignment="1">
      <alignment horizontal="center" vertical="center" wrapText="1"/>
    </xf>
    <xf numFmtId="165" fontId="0" fillId="0" borderId="24" xfId="0" applyNumberFormat="1" applyBorder="1"/>
    <xf numFmtId="165" fontId="0" fillId="0" borderId="25" xfId="0" applyNumberFormat="1" applyBorder="1"/>
    <xf numFmtId="165" fontId="0" fillId="0" borderId="26" xfId="0" applyNumberFormat="1" applyBorder="1"/>
    <xf numFmtId="165" fontId="0" fillId="0" borderId="27" xfId="0" applyNumberFormat="1" applyBorder="1"/>
    <xf numFmtId="165" fontId="0" fillId="0" borderId="28" xfId="0" applyNumberFormat="1" applyBorder="1"/>
    <xf numFmtId="165" fontId="0" fillId="0" borderId="29" xfId="0" applyNumberFormat="1" applyBorder="1"/>
    <xf numFmtId="165" fontId="0" fillId="0" borderId="30" xfId="0" applyNumberFormat="1" applyBorder="1"/>
    <xf numFmtId="0" fontId="0" fillId="0" borderId="0" xfId="0" quotePrefix="1"/>
    <xf numFmtId="0" fontId="0" fillId="3" borderId="2" xfId="0" applyFill="1" applyBorder="1"/>
    <xf numFmtId="166" fontId="0" fillId="0" borderId="0" xfId="0" applyNumberFormat="1"/>
    <xf numFmtId="0" fontId="0" fillId="0" borderId="7" xfId="0" applyBorder="1" applyAlignment="1">
      <alignment horizontal="right"/>
    </xf>
    <xf numFmtId="0" fontId="0" fillId="0" borderId="9" xfId="0" applyBorder="1" applyAlignment="1">
      <alignment horizontal="right"/>
    </xf>
    <xf numFmtId="0" fontId="0" fillId="0" borderId="11" xfId="0" applyBorder="1" applyAlignment="1">
      <alignment horizontal="right"/>
    </xf>
    <xf numFmtId="165" fontId="0" fillId="0" borderId="26" xfId="0" applyNumberFormat="1" applyBorder="1" applyAlignment="1">
      <alignment horizontal="right"/>
    </xf>
    <xf numFmtId="165" fontId="0" fillId="0" borderId="29" xfId="0" applyNumberFormat="1" applyBorder="1" applyAlignment="1">
      <alignment horizontal="right"/>
    </xf>
    <xf numFmtId="165" fontId="0" fillId="0" borderId="17" xfId="0" applyNumberFormat="1" applyBorder="1" applyAlignment="1">
      <alignment horizontal="right"/>
    </xf>
    <xf numFmtId="165" fontId="0" fillId="0" borderId="24" xfId="0" applyNumberFormat="1" applyBorder="1" applyAlignment="1">
      <alignment horizontal="right"/>
    </xf>
    <xf numFmtId="165" fontId="0" fillId="0" borderId="18" xfId="0" applyNumberFormat="1" applyBorder="1" applyAlignment="1">
      <alignment horizontal="right"/>
    </xf>
    <xf numFmtId="165" fontId="0" fillId="0" borderId="25" xfId="0" applyNumberFormat="1" applyBorder="1" applyAlignment="1">
      <alignment horizontal="right"/>
    </xf>
    <xf numFmtId="165" fontId="0" fillId="0" borderId="27" xfId="0" applyNumberFormat="1" applyBorder="1" applyAlignment="1">
      <alignment horizontal="right"/>
    </xf>
    <xf numFmtId="165" fontId="0" fillId="0" borderId="28" xfId="0" applyNumberFormat="1" applyBorder="1" applyAlignment="1">
      <alignment horizontal="right"/>
    </xf>
    <xf numFmtId="165" fontId="0" fillId="0" borderId="30" xfId="0" applyNumberFormat="1" applyBorder="1" applyAlignment="1">
      <alignment horizontal="right"/>
    </xf>
    <xf numFmtId="0" fontId="0" fillId="0" borderId="32" xfId="0" applyBorder="1"/>
    <xf numFmtId="0" fontId="3" fillId="0" borderId="32" xfId="0" applyFont="1" applyBorder="1"/>
    <xf numFmtId="0" fontId="2" fillId="0" borderId="32" xfId="0" applyFont="1" applyBorder="1"/>
    <xf numFmtId="0" fontId="1" fillId="0" borderId="32" xfId="0" applyFont="1" applyBorder="1"/>
    <xf numFmtId="0" fontId="1" fillId="0" borderId="33" xfId="0" applyFont="1" applyBorder="1"/>
    <xf numFmtId="0" fontId="0" fillId="0" borderId="33" xfId="0" applyBorder="1"/>
    <xf numFmtId="0" fontId="0" fillId="0" borderId="34" xfId="0" applyBorder="1"/>
    <xf numFmtId="0" fontId="5" fillId="0" borderId="34" xfId="0" applyFont="1" applyBorder="1"/>
    <xf numFmtId="0" fontId="0" fillId="0" borderId="35" xfId="0" applyBorder="1"/>
    <xf numFmtId="0" fontId="1" fillId="0" borderId="36" xfId="0" applyFont="1" applyBorder="1"/>
    <xf numFmtId="0" fontId="0" fillId="0" borderId="36" xfId="0" applyBorder="1"/>
    <xf numFmtId="0" fontId="0" fillId="0" borderId="37" xfId="0" applyBorder="1"/>
    <xf numFmtId="0" fontId="0" fillId="0" borderId="38" xfId="0" applyBorder="1"/>
    <xf numFmtId="0" fontId="0" fillId="0" borderId="39" xfId="0" applyBorder="1"/>
    <xf numFmtId="0" fontId="0" fillId="0" borderId="40" xfId="0" applyBorder="1"/>
    <xf numFmtId="0" fontId="0" fillId="0" borderId="41" xfId="0" applyBorder="1"/>
    <xf numFmtId="0" fontId="0" fillId="0" borderId="42" xfId="0" applyBorder="1"/>
    <xf numFmtId="0" fontId="0" fillId="0" borderId="43" xfId="0" applyBorder="1"/>
    <xf numFmtId="0" fontId="0" fillId="0" borderId="44" xfId="0" applyBorder="1"/>
    <xf numFmtId="0" fontId="0" fillId="0" borderId="45" xfId="0" applyBorder="1"/>
    <xf numFmtId="0" fontId="0" fillId="0" borderId="46" xfId="0" applyBorder="1"/>
    <xf numFmtId="0" fontId="6" fillId="0" borderId="33" xfId="0" applyFont="1" applyBorder="1"/>
    <xf numFmtId="0" fontId="0" fillId="0" borderId="47" xfId="0" applyBorder="1"/>
    <xf numFmtId="0" fontId="1" fillId="0" borderId="47" xfId="0" applyFont="1" applyBorder="1"/>
    <xf numFmtId="0" fontId="0" fillId="0" borderId="48" xfId="0" applyBorder="1"/>
    <xf numFmtId="0" fontId="0" fillId="0" borderId="49" xfId="0" applyBorder="1"/>
    <xf numFmtId="0" fontId="7" fillId="0" borderId="33" xfId="0" applyFont="1" applyBorder="1" applyAlignment="1">
      <alignment horizontal="left" vertical="center"/>
    </xf>
    <xf numFmtId="0" fontId="8" fillId="0" borderId="0" xfId="0" applyFont="1"/>
    <xf numFmtId="0" fontId="6" fillId="0" borderId="52" xfId="0" applyFont="1" applyBorder="1"/>
    <xf numFmtId="0" fontId="0" fillId="0" borderId="51" xfId="0" applyBorder="1"/>
    <xf numFmtId="0" fontId="8" fillId="0" borderId="50" xfId="0" applyFont="1" applyBorder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20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ustomXml" Target="../customXml/item4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3.xml"/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Evolution de la population résidante permanente</a:t>
            </a:r>
            <a:r>
              <a:rPr lang="en-US" baseline="0"/>
              <a:t> de la Suisse</a:t>
            </a:r>
            <a:endParaRPr lang="en-US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'Graphique Evolution et Pyramide'!$B$48</c:f>
              <c:strCache>
                <c:ptCount val="1"/>
                <c:pt idx="0">
                  <c:v>Total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'Graphique Evolution et Pyramide'!$E$88:$V$88</c:f>
              <c:strCache>
                <c:ptCount val="18"/>
                <c:pt idx="0">
                  <c:v>2015</c:v>
                </c:pt>
                <c:pt idx="1">
                  <c:v>-</c:v>
                </c:pt>
                <c:pt idx="2">
                  <c:v>-</c:v>
                </c:pt>
                <c:pt idx="3">
                  <c:v>-</c:v>
                </c:pt>
                <c:pt idx="4">
                  <c:v>-</c:v>
                </c:pt>
                <c:pt idx="5">
                  <c:v>-</c:v>
                </c:pt>
                <c:pt idx="6">
                  <c:v>-</c:v>
                </c:pt>
                <c:pt idx="7">
                  <c:v>-</c:v>
                </c:pt>
                <c:pt idx="8">
                  <c:v>-</c:v>
                </c:pt>
                <c:pt idx="9">
                  <c:v>-</c:v>
                </c:pt>
                <c:pt idx="10">
                  <c:v>-</c:v>
                </c:pt>
                <c:pt idx="11">
                  <c:v>-</c:v>
                </c:pt>
                <c:pt idx="12">
                  <c:v>-</c:v>
                </c:pt>
                <c:pt idx="13">
                  <c:v>-</c:v>
                </c:pt>
                <c:pt idx="14">
                  <c:v>-</c:v>
                </c:pt>
                <c:pt idx="15">
                  <c:v>-</c:v>
                </c:pt>
                <c:pt idx="16">
                  <c:v>-</c:v>
                </c:pt>
                <c:pt idx="17">
                  <c:v>-</c:v>
                </c:pt>
              </c:strCache>
            </c:strRef>
          </c:cat>
          <c:val>
            <c:numRef>
              <c:f>'Graphique Evolution et Pyramide'!$E$73:$V$73</c:f>
              <c:numCache>
                <c:formatCode>#,##0</c:formatCode>
                <c:ptCount val="18"/>
                <c:pt idx="0">
                  <c:v>8327126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BC0-4694-B195-D7DC3D8DBB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514143064"/>
        <c:axId val="514142672"/>
      </c:barChart>
      <c:catAx>
        <c:axId val="514143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514142672"/>
        <c:crosses val="autoZero"/>
        <c:auto val="1"/>
        <c:lblAlgn val="ctr"/>
        <c:lblOffset val="100"/>
        <c:noMultiLvlLbl val="0"/>
      </c:catAx>
      <c:valAx>
        <c:axId val="514142672"/>
        <c:scaling>
          <c:orientation val="minMax"/>
          <c:max val="16000000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51414306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Structure</a:t>
            </a:r>
            <a:r>
              <a:rPr lang="en-US" baseline="0"/>
              <a:t> par âge de la population résidante permanente de la Suisse</a:t>
            </a:r>
            <a:endParaRPr lang="en-US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7.6542992501608134E-2"/>
          <c:y val="0.19566630552546047"/>
          <c:w val="0.85103860004977017"/>
          <c:h val="0.72055519062284057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'Graphique Evolution et Pyramide'!$B$2</c:f>
              <c:strCache>
                <c:ptCount val="1"/>
                <c:pt idx="0">
                  <c:v>Hommes</c:v>
                </c:pt>
              </c:strCache>
            </c:strRef>
          </c:tx>
          <c:spPr>
            <a:solidFill>
              <a:srgbClr val="92D050"/>
            </a:solidFill>
            <a:ln>
              <a:noFill/>
            </a:ln>
            <a:effectLst/>
          </c:spPr>
          <c:invertIfNegative val="0"/>
          <c:cat>
            <c:strRef>
              <c:f>'Graphique Evolution et Pyramide'!$B$3:$B$23</c:f>
              <c:strCache>
                <c:ptCount val="21"/>
                <c:pt idx="0">
                  <c:v>0-4</c:v>
                </c:pt>
                <c:pt idx="1">
                  <c:v>5-9</c:v>
                </c:pt>
                <c:pt idx="2">
                  <c:v>10-14</c:v>
                </c:pt>
                <c:pt idx="3">
                  <c:v>15-19</c:v>
                </c:pt>
                <c:pt idx="4">
                  <c:v>20-24</c:v>
                </c:pt>
                <c:pt idx="5">
                  <c:v>25-29</c:v>
                </c:pt>
                <c:pt idx="6">
                  <c:v>30-34</c:v>
                </c:pt>
                <c:pt idx="7">
                  <c:v>35-39</c:v>
                </c:pt>
                <c:pt idx="8">
                  <c:v>40-44</c:v>
                </c:pt>
                <c:pt idx="9">
                  <c:v>45-49</c:v>
                </c:pt>
                <c:pt idx="10">
                  <c:v>50-54</c:v>
                </c:pt>
                <c:pt idx="11">
                  <c:v>55-59</c:v>
                </c:pt>
                <c:pt idx="12">
                  <c:v>60-64</c:v>
                </c:pt>
                <c:pt idx="13">
                  <c:v>65-69</c:v>
                </c:pt>
                <c:pt idx="14">
                  <c:v>70-74</c:v>
                </c:pt>
                <c:pt idx="15">
                  <c:v>75-79</c:v>
                </c:pt>
                <c:pt idx="16">
                  <c:v>80-84</c:v>
                </c:pt>
                <c:pt idx="17">
                  <c:v>85-89</c:v>
                </c:pt>
                <c:pt idx="18">
                  <c:v>90-94</c:v>
                </c:pt>
                <c:pt idx="19">
                  <c:v>95-99</c:v>
                </c:pt>
                <c:pt idx="20">
                  <c:v>100-+</c:v>
                </c:pt>
              </c:strCache>
            </c:strRef>
          </c:cat>
          <c:val>
            <c:numRef>
              <c:f>'Graphique Evolution et Pyramide'!$C$3:$C$23</c:f>
              <c:numCache>
                <c:formatCode>#,##0</c:formatCode>
                <c:ptCount val="21"/>
                <c:pt idx="0">
                  <c:v>-217657</c:v>
                </c:pt>
                <c:pt idx="1">
                  <c:v>-212219</c:v>
                </c:pt>
                <c:pt idx="2">
                  <c:v>-205372</c:v>
                </c:pt>
                <c:pt idx="3">
                  <c:v>-225456</c:v>
                </c:pt>
                <c:pt idx="4">
                  <c:v>-252697</c:v>
                </c:pt>
                <c:pt idx="5">
                  <c:v>-283314</c:v>
                </c:pt>
                <c:pt idx="6">
                  <c:v>-297613</c:v>
                </c:pt>
                <c:pt idx="7">
                  <c:v>-292170</c:v>
                </c:pt>
                <c:pt idx="8">
                  <c:v>-297391</c:v>
                </c:pt>
                <c:pt idx="9">
                  <c:v>-329701</c:v>
                </c:pt>
                <c:pt idx="10">
                  <c:v>-333462</c:v>
                </c:pt>
                <c:pt idx="11">
                  <c:v>-282913</c:v>
                </c:pt>
                <c:pt idx="12">
                  <c:v>-231880</c:v>
                </c:pt>
                <c:pt idx="13">
                  <c:v>-209673</c:v>
                </c:pt>
                <c:pt idx="14">
                  <c:v>-175474</c:v>
                </c:pt>
                <c:pt idx="15">
                  <c:v>-121302</c:v>
                </c:pt>
                <c:pt idx="16">
                  <c:v>-86403</c:v>
                </c:pt>
                <c:pt idx="17">
                  <c:v>-46832</c:v>
                </c:pt>
                <c:pt idx="18">
                  <c:v>-16816</c:v>
                </c:pt>
                <c:pt idx="19">
                  <c:v>-2836</c:v>
                </c:pt>
                <c:pt idx="20">
                  <c:v>-290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795-471D-B248-5B22F2B8FADA}"/>
            </c:ext>
          </c:extLst>
        </c:ser>
        <c:ser>
          <c:idx val="1"/>
          <c:order val="1"/>
          <c:tx>
            <c:strRef>
              <c:f>'Graphique Evolution et Pyramide'!$B$25</c:f>
              <c:strCache>
                <c:ptCount val="1"/>
                <c:pt idx="0">
                  <c:v>Femmes</c:v>
                </c:pt>
              </c:strCache>
            </c:strRef>
          </c:tx>
          <c:spPr>
            <a:solidFill>
              <a:srgbClr val="00B050"/>
            </a:solidFill>
            <a:ln>
              <a:noFill/>
            </a:ln>
            <a:effectLst/>
          </c:spPr>
          <c:invertIfNegative val="0"/>
          <c:cat>
            <c:strRef>
              <c:f>'Graphique Evolution et Pyramide'!$B$3:$B$23</c:f>
              <c:strCache>
                <c:ptCount val="21"/>
                <c:pt idx="0">
                  <c:v>0-4</c:v>
                </c:pt>
                <c:pt idx="1">
                  <c:v>5-9</c:v>
                </c:pt>
                <c:pt idx="2">
                  <c:v>10-14</c:v>
                </c:pt>
                <c:pt idx="3">
                  <c:v>15-19</c:v>
                </c:pt>
                <c:pt idx="4">
                  <c:v>20-24</c:v>
                </c:pt>
                <c:pt idx="5">
                  <c:v>25-29</c:v>
                </c:pt>
                <c:pt idx="6">
                  <c:v>30-34</c:v>
                </c:pt>
                <c:pt idx="7">
                  <c:v>35-39</c:v>
                </c:pt>
                <c:pt idx="8">
                  <c:v>40-44</c:v>
                </c:pt>
                <c:pt idx="9">
                  <c:v>45-49</c:v>
                </c:pt>
                <c:pt idx="10">
                  <c:v>50-54</c:v>
                </c:pt>
                <c:pt idx="11">
                  <c:v>55-59</c:v>
                </c:pt>
                <c:pt idx="12">
                  <c:v>60-64</c:v>
                </c:pt>
                <c:pt idx="13">
                  <c:v>65-69</c:v>
                </c:pt>
                <c:pt idx="14">
                  <c:v>70-74</c:v>
                </c:pt>
                <c:pt idx="15">
                  <c:v>75-79</c:v>
                </c:pt>
                <c:pt idx="16">
                  <c:v>80-84</c:v>
                </c:pt>
                <c:pt idx="17">
                  <c:v>85-89</c:v>
                </c:pt>
                <c:pt idx="18">
                  <c:v>90-94</c:v>
                </c:pt>
                <c:pt idx="19">
                  <c:v>95-99</c:v>
                </c:pt>
                <c:pt idx="20">
                  <c:v>100-+</c:v>
                </c:pt>
              </c:strCache>
            </c:strRef>
          </c:cat>
          <c:val>
            <c:numRef>
              <c:f>'Graphique Evolution et Pyramide'!$C$26:$C$46</c:f>
              <c:numCache>
                <c:formatCode>#,##0</c:formatCode>
                <c:ptCount val="21"/>
                <c:pt idx="0">
                  <c:v>205374</c:v>
                </c:pt>
                <c:pt idx="1">
                  <c:v>201038</c:v>
                </c:pt>
                <c:pt idx="2">
                  <c:v>195132</c:v>
                </c:pt>
                <c:pt idx="3">
                  <c:v>213255</c:v>
                </c:pt>
                <c:pt idx="4">
                  <c:v>243351</c:v>
                </c:pt>
                <c:pt idx="5">
                  <c:v>277273</c:v>
                </c:pt>
                <c:pt idx="6">
                  <c:v>291671</c:v>
                </c:pt>
                <c:pt idx="7">
                  <c:v>287040</c:v>
                </c:pt>
                <c:pt idx="8">
                  <c:v>292776</c:v>
                </c:pt>
                <c:pt idx="9">
                  <c:v>324544</c:v>
                </c:pt>
                <c:pt idx="10">
                  <c:v>324312</c:v>
                </c:pt>
                <c:pt idx="11">
                  <c:v>277364</c:v>
                </c:pt>
                <c:pt idx="12">
                  <c:v>237099</c:v>
                </c:pt>
                <c:pt idx="13">
                  <c:v>223920</c:v>
                </c:pt>
                <c:pt idx="14">
                  <c:v>195775</c:v>
                </c:pt>
                <c:pt idx="15">
                  <c:v>152041</c:v>
                </c:pt>
                <c:pt idx="16">
                  <c:v>125100</c:v>
                </c:pt>
                <c:pt idx="17">
                  <c:v>86561</c:v>
                </c:pt>
                <c:pt idx="18">
                  <c:v>41329</c:v>
                </c:pt>
                <c:pt idx="19">
                  <c:v>9428</c:v>
                </c:pt>
                <c:pt idx="20">
                  <c:v>1272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795-471D-B248-5B22F2B8FA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100"/>
        <c:axId val="379363392"/>
        <c:axId val="379363784"/>
      </c:barChart>
      <c:catAx>
        <c:axId val="37936339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79363784"/>
        <c:crosses val="autoZero"/>
        <c:auto val="1"/>
        <c:lblAlgn val="ctr"/>
        <c:lblOffset val="100"/>
        <c:noMultiLvlLbl val="0"/>
      </c:catAx>
      <c:valAx>
        <c:axId val="379363784"/>
        <c:scaling>
          <c:orientation val="minMax"/>
          <c:max val="600000"/>
          <c:min val="-60000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;#,##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7936339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5" l="0.7" r="0.7" t="0.75" header="0.3" footer="0.3"/>
    <c:pageSetup/>
  </c:printSettings>
  <c:userShapes r:id="rId3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Evolution du rapport de dépendance des personnes âgées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cat>
            <c:strRef>
              <c:f>'Graphique Indicateurs'!$B$4:$B$21</c:f>
              <c:strCache>
                <c:ptCount val="18"/>
                <c:pt idx="0">
                  <c:v>2015</c:v>
                </c:pt>
                <c:pt idx="1">
                  <c:v>-</c:v>
                </c:pt>
                <c:pt idx="2">
                  <c:v>-</c:v>
                </c:pt>
                <c:pt idx="3">
                  <c:v>-</c:v>
                </c:pt>
                <c:pt idx="4">
                  <c:v>-</c:v>
                </c:pt>
                <c:pt idx="5">
                  <c:v>-</c:v>
                </c:pt>
                <c:pt idx="6">
                  <c:v>-</c:v>
                </c:pt>
                <c:pt idx="7">
                  <c:v>-</c:v>
                </c:pt>
                <c:pt idx="8">
                  <c:v>-</c:v>
                </c:pt>
                <c:pt idx="9">
                  <c:v>-</c:v>
                </c:pt>
                <c:pt idx="10">
                  <c:v>-</c:v>
                </c:pt>
                <c:pt idx="11">
                  <c:v>-</c:v>
                </c:pt>
                <c:pt idx="12">
                  <c:v>-</c:v>
                </c:pt>
                <c:pt idx="13">
                  <c:v>-</c:v>
                </c:pt>
                <c:pt idx="14">
                  <c:v>-</c:v>
                </c:pt>
                <c:pt idx="15">
                  <c:v>-</c:v>
                </c:pt>
                <c:pt idx="16">
                  <c:v>-</c:v>
                </c:pt>
                <c:pt idx="17">
                  <c:v>-</c:v>
                </c:pt>
              </c:strCache>
            </c:strRef>
          </c:cat>
          <c:val>
            <c:numRef>
              <c:f>'Graphique Indicateurs'!$G$4:$G$21</c:f>
              <c:numCache>
                <c:formatCode>0.0</c:formatCode>
                <c:ptCount val="18"/>
                <c:pt idx="0">
                  <c:v>28.993142923853856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A82-48E0-80D8-62851BDE06D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"/>
        <c:overlap val="100"/>
        <c:axId val="379364568"/>
        <c:axId val="379364960"/>
      </c:barChart>
      <c:catAx>
        <c:axId val="3793645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27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79364960"/>
        <c:crosses val="autoZero"/>
        <c:auto val="1"/>
        <c:lblAlgn val="ctr"/>
        <c:lblOffset val="100"/>
        <c:noMultiLvlLbl val="0"/>
      </c:catAx>
      <c:valAx>
        <c:axId val="379364960"/>
        <c:scaling>
          <c:orientation val="minMax"/>
          <c:max val="80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7936456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640080</xdr:colOff>
      <xdr:row>1</xdr:row>
      <xdr:rowOff>25992</xdr:rowOff>
    </xdr:from>
    <xdr:to>
      <xdr:col>14</xdr:col>
      <xdr:colOff>1042640</xdr:colOff>
      <xdr:row>2</xdr:row>
      <xdr:rowOff>327660</xdr:rowOff>
    </xdr:to>
    <xdr:pic>
      <xdr:nvPicPr>
        <xdr:cNvPr id="2" name="Imag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87740" y="102192"/>
          <a:ext cx="2962880" cy="1063668"/>
        </a:xfrm>
        <a:prstGeom prst="rect">
          <a:avLst/>
        </a:prstGeom>
      </xdr:spPr>
    </xdr:pic>
    <xdr:clientData/>
  </xdr:twoCellAnchor>
  <xdr:twoCellAnchor editAs="oneCell">
    <xdr:from>
      <xdr:col>1</xdr:col>
      <xdr:colOff>121920</xdr:colOff>
      <xdr:row>1</xdr:row>
      <xdr:rowOff>129540</xdr:rowOff>
    </xdr:from>
    <xdr:to>
      <xdr:col>4</xdr:col>
      <xdr:colOff>221615</xdr:colOff>
      <xdr:row>1</xdr:row>
      <xdr:rowOff>637540</xdr:rowOff>
    </xdr:to>
    <xdr:pic>
      <xdr:nvPicPr>
        <xdr:cNvPr id="3" name="Picture 42" descr="Logo_CMYK_pos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312420" y="312420"/>
          <a:ext cx="1997075" cy="508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7</xdr:col>
      <xdr:colOff>541020</xdr:colOff>
      <xdr:row>1</xdr:row>
      <xdr:rowOff>137160</xdr:rowOff>
    </xdr:from>
    <xdr:to>
      <xdr:col>11</xdr:col>
      <xdr:colOff>708660</xdr:colOff>
      <xdr:row>1</xdr:row>
      <xdr:rowOff>394335</xdr:rowOff>
    </xdr:to>
    <xdr:sp macro="" textlink="">
      <xdr:nvSpPr>
        <xdr:cNvPr id="4" name="Text Box 43"/>
        <xdr:cNvSpPr txBox="1">
          <a:spLocks noChangeArrowheads="1"/>
        </xdr:cNvSpPr>
      </xdr:nvSpPr>
      <xdr:spPr bwMode="auto">
        <a:xfrm>
          <a:off x="5189220" y="320040"/>
          <a:ext cx="3581400" cy="257175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/>
      </xdr:spPr>
      <xdr:txBody>
        <a:bodyPr wrap="square" lIns="0" tIns="0" rIns="0" bIns="0">
          <a:spAutoFit/>
        </a:bodyPr>
        <a:lstStyle>
          <a:defPPr>
            <a:defRPr lang="de-CH"/>
          </a:defPPr>
          <a:lvl1pPr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Times" pitchFamily="18" charset="0"/>
              <a:ea typeface="+mn-ea"/>
              <a:cs typeface="+mn-cs"/>
            </a:defRPr>
          </a:lvl1pPr>
          <a:lvl2pPr marL="4572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Times" pitchFamily="18" charset="0"/>
              <a:ea typeface="+mn-ea"/>
              <a:cs typeface="+mn-cs"/>
            </a:defRPr>
          </a:lvl2pPr>
          <a:lvl3pPr marL="9144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Times" pitchFamily="18" charset="0"/>
              <a:ea typeface="+mn-ea"/>
              <a:cs typeface="+mn-cs"/>
            </a:defRPr>
          </a:lvl3pPr>
          <a:lvl4pPr marL="13716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Times" pitchFamily="18" charset="0"/>
              <a:ea typeface="+mn-ea"/>
              <a:cs typeface="+mn-cs"/>
            </a:defRPr>
          </a:lvl4pPr>
          <a:lvl5pPr marL="18288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Times" pitchFamily="18" charset="0"/>
              <a:ea typeface="+mn-ea"/>
              <a:cs typeface="+mn-cs"/>
            </a:defRPr>
          </a:lvl5pPr>
          <a:lvl6pPr marL="2286000" algn="l" defTabSz="914400" rtl="0" eaLnBrk="1" latinLnBrk="0" hangingPunct="1">
            <a:defRPr sz="2400" kern="1200">
              <a:solidFill>
                <a:schemeClr val="tx1"/>
              </a:solidFill>
              <a:latin typeface="Times" pitchFamily="18" charset="0"/>
              <a:ea typeface="+mn-ea"/>
              <a:cs typeface="+mn-cs"/>
            </a:defRPr>
          </a:lvl6pPr>
          <a:lvl7pPr marL="2743200" algn="l" defTabSz="914400" rtl="0" eaLnBrk="1" latinLnBrk="0" hangingPunct="1">
            <a:defRPr sz="2400" kern="1200">
              <a:solidFill>
                <a:schemeClr val="tx1"/>
              </a:solidFill>
              <a:latin typeface="Times" pitchFamily="18" charset="0"/>
              <a:ea typeface="+mn-ea"/>
              <a:cs typeface="+mn-cs"/>
            </a:defRPr>
          </a:lvl7pPr>
          <a:lvl8pPr marL="3200400" algn="l" defTabSz="914400" rtl="0" eaLnBrk="1" latinLnBrk="0" hangingPunct="1">
            <a:defRPr sz="2400" kern="1200">
              <a:solidFill>
                <a:schemeClr val="tx1"/>
              </a:solidFill>
              <a:latin typeface="Times" pitchFamily="18" charset="0"/>
              <a:ea typeface="+mn-ea"/>
              <a:cs typeface="+mn-cs"/>
            </a:defRPr>
          </a:lvl8pPr>
          <a:lvl9pPr marL="3657600" algn="l" defTabSz="914400" rtl="0" eaLnBrk="1" latinLnBrk="0" hangingPunct="1">
            <a:defRPr sz="2400" kern="1200">
              <a:solidFill>
                <a:schemeClr val="tx1"/>
              </a:solidFill>
              <a:latin typeface="Times" pitchFamily="18" charset="0"/>
              <a:ea typeface="+mn-ea"/>
              <a:cs typeface="+mn-cs"/>
            </a:defRPr>
          </a:lvl9pPr>
        </a:lstStyle>
        <a:p>
          <a:pPr>
            <a:lnSpc>
              <a:spcPct val="105000"/>
            </a:lnSpc>
            <a:spcBef>
              <a:spcPct val="50000"/>
            </a:spcBef>
          </a:pPr>
          <a:r>
            <a:rPr lang="fr-FR" sz="800">
              <a:latin typeface="Arial" charset="0"/>
            </a:rPr>
            <a:t>Département fédéral de l’intérieur DFI</a:t>
          </a:r>
          <a:r>
            <a:rPr lang="de-CH" sz="800">
              <a:latin typeface="Arial" charset="0"/>
            </a:rPr>
            <a:t/>
          </a:r>
          <a:br>
            <a:rPr lang="de-CH" sz="800">
              <a:latin typeface="Arial" charset="0"/>
            </a:rPr>
          </a:br>
          <a:r>
            <a:rPr lang="fr-FR" sz="800" b="1">
              <a:latin typeface="Arial" charset="0"/>
            </a:rPr>
            <a:t>Office fédéral de la statistique OFS</a:t>
          </a:r>
          <a:endParaRPr lang="de-CH" sz="800" b="1">
            <a:latin typeface="Arial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8</xdr:row>
      <xdr:rowOff>171450</xdr:rowOff>
    </xdr:from>
    <xdr:to>
      <xdr:col>4</xdr:col>
      <xdr:colOff>845820</xdr:colOff>
      <xdr:row>29</xdr:row>
      <xdr:rowOff>7620</xdr:rowOff>
    </xdr:to>
    <xdr:graphicFrame macro="">
      <xdr:nvGraphicFramePr>
        <xdr:cNvPr id="3" name="Graphique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830580</xdr:colOff>
      <xdr:row>8</xdr:row>
      <xdr:rowOff>171450</xdr:rowOff>
    </xdr:from>
    <xdr:to>
      <xdr:col>10</xdr:col>
      <xdr:colOff>822960</xdr:colOff>
      <xdr:row>29</xdr:row>
      <xdr:rowOff>7620</xdr:rowOff>
    </xdr:to>
    <xdr:graphicFrame macro="">
      <xdr:nvGraphicFramePr>
        <xdr:cNvPr id="4" name="Graphique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0</xdr:colOff>
      <xdr:row>30</xdr:row>
      <xdr:rowOff>38100</xdr:rowOff>
    </xdr:from>
    <xdr:to>
      <xdr:col>4</xdr:col>
      <xdr:colOff>830580</xdr:colOff>
      <xdr:row>50</xdr:row>
      <xdr:rowOff>167640</xdr:rowOff>
    </xdr:to>
    <xdr:graphicFrame macro="">
      <xdr:nvGraphicFramePr>
        <xdr:cNvPr id="2" name="Graphique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oneCellAnchor>
    <xdr:from>
      <xdr:col>2</xdr:col>
      <xdr:colOff>7620</xdr:colOff>
      <xdr:row>1</xdr:row>
      <xdr:rowOff>0</xdr:rowOff>
    </xdr:from>
    <xdr:ext cx="1089660" cy="891540"/>
    <xdr:sp macro="" textlink="">
      <xdr:nvSpPr>
        <xdr:cNvPr id="5" name="ZoneTexte 4"/>
        <xdr:cNvSpPr txBox="1"/>
      </xdr:nvSpPr>
      <xdr:spPr>
        <a:xfrm>
          <a:off x="2849880" y="182880"/>
          <a:ext cx="1089660" cy="89154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endParaRPr lang="fr-CH" sz="1100"/>
        </a:p>
      </xdr:txBody>
    </xdr:sp>
    <xdr:clientData/>
  </xdr:oneCellAnchor>
</xdr:wsDr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0.07871</cdr:x>
      <cdr:y>0.21127</cdr:y>
    </cdr:from>
    <cdr:to>
      <cdr:x>0.22898</cdr:x>
      <cdr:y>0.28711</cdr:y>
    </cdr:to>
    <cdr:sp macro="" textlink="">
      <cdr:nvSpPr>
        <cdr:cNvPr id="2" name="ZoneTexte 1"/>
        <cdr:cNvSpPr txBox="1"/>
      </cdr:nvSpPr>
      <cdr:spPr>
        <a:xfrm xmlns:a="http://schemas.openxmlformats.org/drawingml/2006/main">
          <a:off x="335280" y="742950"/>
          <a:ext cx="640080" cy="266700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fr-CH" sz="1100"/>
            <a:t>Hommes</a:t>
          </a:r>
        </a:p>
      </cdr:txBody>
    </cdr:sp>
  </cdr:relSizeAnchor>
  <cdr:relSizeAnchor xmlns:cdr="http://schemas.openxmlformats.org/drawingml/2006/chartDrawing">
    <cdr:from>
      <cdr:x>0.7746</cdr:x>
      <cdr:y>0.21993</cdr:y>
    </cdr:from>
    <cdr:to>
      <cdr:x>0.92308</cdr:x>
      <cdr:y>0.28927</cdr:y>
    </cdr:to>
    <cdr:sp macro="" textlink="">
      <cdr:nvSpPr>
        <cdr:cNvPr id="5" name="ZoneTexte 4"/>
        <cdr:cNvSpPr txBox="1"/>
      </cdr:nvSpPr>
      <cdr:spPr>
        <a:xfrm xmlns:a="http://schemas.openxmlformats.org/drawingml/2006/main">
          <a:off x="3299460" y="773430"/>
          <a:ext cx="632460" cy="243840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fr-CH" sz="1100"/>
            <a:t>Femmes</a:t>
          </a: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/>
  </sheetPr>
  <dimension ref="A1:P29"/>
  <sheetViews>
    <sheetView workbookViewId="0">
      <selection activeCell="L11" sqref="L11"/>
    </sheetView>
  </sheetViews>
  <sheetFormatPr baseColWidth="10" defaultColWidth="11" defaultRowHeight="13.8" x14ac:dyDescent="0.25"/>
  <cols>
    <col min="1" max="1" width="1" customWidth="1"/>
    <col min="2" max="2" width="2.5" customWidth="1"/>
    <col min="3" max="3" width="11.19921875" customWidth="1"/>
    <col min="15" max="15" width="22.3984375" customWidth="1"/>
  </cols>
  <sheetData>
    <row r="1" spans="1:16" ht="6" customHeight="1" thickBot="1" x14ac:dyDescent="0.3">
      <c r="A1" s="109"/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</row>
    <row r="2" spans="1:16" ht="60" customHeight="1" thickTop="1" thickBot="1" x14ac:dyDescent="0.3">
      <c r="A2" s="17"/>
      <c r="B2" s="90"/>
      <c r="C2" s="91"/>
      <c r="D2" s="92"/>
      <c r="E2" s="92"/>
      <c r="F2" s="92"/>
      <c r="G2" s="92"/>
      <c r="H2" s="92"/>
      <c r="I2" s="92"/>
      <c r="J2" s="92"/>
      <c r="K2" s="92"/>
      <c r="L2" s="92"/>
      <c r="M2" s="92"/>
      <c r="N2" s="92"/>
      <c r="O2" s="93"/>
      <c r="P2" s="17"/>
    </row>
    <row r="3" spans="1:16" ht="36" customHeight="1" thickTop="1" thickBot="1" x14ac:dyDescent="0.35">
      <c r="A3" s="17"/>
      <c r="B3" s="94"/>
      <c r="C3" s="105"/>
      <c r="D3" s="108" t="s">
        <v>92</v>
      </c>
      <c r="E3" s="112"/>
      <c r="F3" s="106"/>
      <c r="G3" s="87"/>
      <c r="H3" s="104"/>
      <c r="I3" s="103"/>
      <c r="J3" s="103"/>
      <c r="K3" s="103"/>
      <c r="L3" s="87"/>
      <c r="M3" s="87"/>
      <c r="N3" s="87"/>
      <c r="O3" s="95"/>
      <c r="P3" s="17"/>
    </row>
    <row r="4" spans="1:16" ht="21" customHeight="1" thickTop="1" thickBot="1" x14ac:dyDescent="0.35">
      <c r="A4" s="17"/>
      <c r="B4" s="94"/>
      <c r="C4" s="86" t="s">
        <v>82</v>
      </c>
      <c r="D4" s="87"/>
      <c r="E4" s="87"/>
      <c r="F4" s="107"/>
      <c r="G4" s="111"/>
      <c r="H4" s="110"/>
      <c r="I4" s="103"/>
      <c r="J4" s="103"/>
      <c r="K4" s="103"/>
      <c r="L4" s="87"/>
      <c r="M4" s="87"/>
      <c r="N4" s="87"/>
      <c r="O4" s="95"/>
      <c r="P4" s="17"/>
    </row>
    <row r="5" spans="1:16" ht="15" thickTop="1" thickBot="1" x14ac:dyDescent="0.3">
      <c r="A5" s="17"/>
      <c r="B5" s="96"/>
      <c r="C5" s="82"/>
      <c r="D5" s="82"/>
      <c r="E5" s="82"/>
      <c r="F5" s="87"/>
      <c r="G5" s="82"/>
      <c r="H5" s="82"/>
      <c r="I5" s="82"/>
      <c r="J5" s="82"/>
      <c r="K5" s="82"/>
      <c r="L5" s="82"/>
      <c r="M5" s="82"/>
      <c r="N5" s="82"/>
      <c r="O5" s="97"/>
      <c r="P5" s="17"/>
    </row>
    <row r="6" spans="1:16" ht="15" thickTop="1" thickBot="1" x14ac:dyDescent="0.3">
      <c r="A6" s="17"/>
      <c r="B6" s="96"/>
      <c r="C6" s="82" t="s">
        <v>83</v>
      </c>
      <c r="D6" s="82"/>
      <c r="E6" s="82"/>
      <c r="F6" s="83">
        <v>2015</v>
      </c>
      <c r="G6" s="82"/>
      <c r="H6" s="82"/>
      <c r="I6" s="82"/>
      <c r="J6" s="82"/>
      <c r="K6" s="82"/>
      <c r="L6" s="82"/>
      <c r="M6" s="82"/>
      <c r="N6" s="82"/>
      <c r="O6" s="97"/>
      <c r="P6" s="17"/>
    </row>
    <row r="7" spans="1:16" ht="15" thickTop="1" thickBot="1" x14ac:dyDescent="0.3">
      <c r="A7" s="17"/>
      <c r="B7" s="96"/>
      <c r="C7" s="82"/>
      <c r="D7" s="82"/>
      <c r="E7" s="82"/>
      <c r="F7" s="83"/>
      <c r="G7" s="82"/>
      <c r="H7" s="82"/>
      <c r="I7" s="82"/>
      <c r="J7" s="82"/>
      <c r="K7" s="82"/>
      <c r="L7" s="82"/>
      <c r="M7" s="82"/>
      <c r="N7" s="82"/>
      <c r="O7" s="97"/>
      <c r="P7" s="17"/>
    </row>
    <row r="8" spans="1:16" ht="15" thickTop="1" thickBot="1" x14ac:dyDescent="0.3">
      <c r="A8" s="17"/>
      <c r="B8" s="96"/>
      <c r="C8" s="84" t="s">
        <v>87</v>
      </c>
      <c r="D8" s="82"/>
      <c r="E8" s="82"/>
      <c r="F8" s="82"/>
      <c r="G8" s="82"/>
      <c r="H8" s="82"/>
      <c r="I8" s="82"/>
      <c r="J8" s="82"/>
      <c r="K8" s="82"/>
      <c r="L8" s="82"/>
      <c r="M8" s="82"/>
      <c r="N8" s="82"/>
      <c r="O8" s="97"/>
      <c r="P8" s="17"/>
    </row>
    <row r="9" spans="1:16" ht="15" thickTop="1" thickBot="1" x14ac:dyDescent="0.3">
      <c r="A9" s="17"/>
      <c r="B9" s="96"/>
      <c r="C9" s="82"/>
      <c r="D9" s="82"/>
      <c r="E9" s="82"/>
      <c r="F9" s="82"/>
      <c r="G9" s="82"/>
      <c r="H9" s="82"/>
      <c r="I9" s="82"/>
      <c r="J9" s="82"/>
      <c r="K9" s="82"/>
      <c r="L9" s="82"/>
      <c r="M9" s="82"/>
      <c r="N9" s="82"/>
      <c r="O9" s="97"/>
      <c r="P9" s="17"/>
    </row>
    <row r="10" spans="1:16" ht="15" thickTop="1" thickBot="1" x14ac:dyDescent="0.3">
      <c r="A10" s="17"/>
      <c r="B10" s="96"/>
      <c r="C10" s="82" t="s">
        <v>84</v>
      </c>
      <c r="D10" s="82"/>
      <c r="E10" s="82"/>
      <c r="F10" s="82"/>
      <c r="G10" s="82"/>
      <c r="H10" s="82"/>
      <c r="I10" s="82"/>
      <c r="J10" s="82"/>
      <c r="K10" s="82"/>
      <c r="L10" s="82"/>
      <c r="M10" s="82"/>
      <c r="N10" s="82"/>
      <c r="O10" s="97"/>
      <c r="P10" s="17"/>
    </row>
    <row r="11" spans="1:16" ht="15" thickTop="1" thickBot="1" x14ac:dyDescent="0.3">
      <c r="A11" s="17"/>
      <c r="B11" s="96"/>
      <c r="C11" s="82" t="s">
        <v>91</v>
      </c>
      <c r="D11" s="82"/>
      <c r="E11" s="82"/>
      <c r="F11" s="82"/>
      <c r="G11" s="82"/>
      <c r="H11" s="82"/>
      <c r="I11" s="82"/>
      <c r="J11" s="82"/>
      <c r="K11" s="82"/>
      <c r="L11" s="82"/>
      <c r="M11" s="82"/>
      <c r="N11" s="82"/>
      <c r="O11" s="97"/>
      <c r="P11" s="17"/>
    </row>
    <row r="12" spans="1:16" ht="15" thickTop="1" thickBot="1" x14ac:dyDescent="0.3">
      <c r="A12" s="17"/>
      <c r="B12" s="96"/>
      <c r="C12" s="82"/>
      <c r="D12" s="82"/>
      <c r="E12" s="82"/>
      <c r="F12" s="82"/>
      <c r="G12" s="82"/>
      <c r="H12" s="82"/>
      <c r="I12" s="82"/>
      <c r="J12" s="82"/>
      <c r="K12" s="82"/>
      <c r="L12" s="82"/>
      <c r="M12" s="82"/>
      <c r="N12" s="82"/>
      <c r="O12" s="97"/>
      <c r="P12" s="17"/>
    </row>
    <row r="13" spans="1:16" ht="15" thickTop="1" thickBot="1" x14ac:dyDescent="0.3">
      <c r="A13" s="17"/>
      <c r="B13" s="96"/>
      <c r="C13" s="84" t="s">
        <v>88</v>
      </c>
      <c r="D13" s="82"/>
      <c r="E13" s="82"/>
      <c r="F13" s="82"/>
      <c r="G13" s="82"/>
      <c r="H13" s="82"/>
      <c r="I13" s="82"/>
      <c r="J13" s="82"/>
      <c r="K13" s="82"/>
      <c r="L13" s="82"/>
      <c r="M13" s="82"/>
      <c r="N13" s="82"/>
      <c r="O13" s="97"/>
      <c r="P13" s="17"/>
    </row>
    <row r="14" spans="1:16" ht="15" thickTop="1" thickBot="1" x14ac:dyDescent="0.3">
      <c r="A14" s="17"/>
      <c r="B14" s="96"/>
      <c r="C14" s="84" t="s">
        <v>89</v>
      </c>
      <c r="D14" s="82"/>
      <c r="E14" s="82"/>
      <c r="F14" s="82"/>
      <c r="G14" s="82"/>
      <c r="H14" s="82"/>
      <c r="I14" s="82"/>
      <c r="J14" s="82"/>
      <c r="K14" s="82"/>
      <c r="L14" s="82"/>
      <c r="M14" s="82"/>
      <c r="N14" s="82"/>
      <c r="O14" s="97"/>
      <c r="P14" s="17"/>
    </row>
    <row r="15" spans="1:16" ht="15" thickTop="1" thickBot="1" x14ac:dyDescent="0.3">
      <c r="A15" s="17"/>
      <c r="B15" s="96"/>
      <c r="C15" s="84" t="s">
        <v>93</v>
      </c>
      <c r="D15" s="82"/>
      <c r="E15" s="82"/>
      <c r="F15" s="82"/>
      <c r="G15" s="82"/>
      <c r="H15" s="82"/>
      <c r="I15" s="82"/>
      <c r="J15" s="82"/>
      <c r="K15" s="82"/>
      <c r="L15" s="82"/>
      <c r="M15" s="82"/>
      <c r="N15" s="82"/>
      <c r="O15" s="97"/>
      <c r="P15" s="17"/>
    </row>
    <row r="16" spans="1:16" ht="15" thickTop="1" thickBot="1" x14ac:dyDescent="0.3">
      <c r="A16" s="17"/>
      <c r="B16" s="96"/>
      <c r="C16" s="84" t="s">
        <v>94</v>
      </c>
      <c r="D16" s="82"/>
      <c r="E16" s="82"/>
      <c r="F16" s="82"/>
      <c r="G16" s="82"/>
      <c r="H16" s="82"/>
      <c r="I16" s="82"/>
      <c r="J16" s="82"/>
      <c r="K16" s="82"/>
      <c r="L16" s="82"/>
      <c r="M16" s="82"/>
      <c r="N16" s="82"/>
      <c r="O16" s="97"/>
      <c r="P16" s="17"/>
    </row>
    <row r="17" spans="1:16" ht="21" customHeight="1" thickTop="1" thickBot="1" x14ac:dyDescent="0.3">
      <c r="A17" s="17"/>
      <c r="B17" s="96" t="s">
        <v>78</v>
      </c>
      <c r="C17" s="85" t="s">
        <v>102</v>
      </c>
      <c r="D17" s="82"/>
      <c r="E17" s="82"/>
      <c r="F17" s="82"/>
      <c r="G17" s="82"/>
      <c r="H17" s="82"/>
      <c r="I17" s="82"/>
      <c r="J17" s="82"/>
      <c r="K17" s="82"/>
      <c r="L17" s="82"/>
      <c r="M17" s="82"/>
      <c r="N17" s="82"/>
      <c r="O17" s="97"/>
      <c r="P17" s="17"/>
    </row>
    <row r="18" spans="1:16" ht="15" thickTop="1" thickBot="1" x14ac:dyDescent="0.3">
      <c r="A18" s="17"/>
      <c r="B18" s="96"/>
      <c r="C18" s="85" t="s">
        <v>101</v>
      </c>
      <c r="D18" s="82"/>
      <c r="E18" s="82"/>
      <c r="F18" s="82"/>
      <c r="G18" s="82"/>
      <c r="H18" s="82"/>
      <c r="I18" s="82"/>
      <c r="J18" s="82"/>
      <c r="K18" s="82"/>
      <c r="L18" s="82"/>
      <c r="M18" s="82"/>
      <c r="N18" s="82"/>
      <c r="O18" s="97"/>
      <c r="P18" s="17"/>
    </row>
    <row r="19" spans="1:16" ht="15" thickTop="1" thickBot="1" x14ac:dyDescent="0.3">
      <c r="A19" s="17"/>
      <c r="B19" s="96"/>
      <c r="C19" s="85" t="s">
        <v>100</v>
      </c>
      <c r="D19" s="82"/>
      <c r="E19" s="82"/>
      <c r="F19" s="82"/>
      <c r="G19" s="82"/>
      <c r="H19" s="82"/>
      <c r="I19" s="82"/>
      <c r="J19" s="82"/>
      <c r="K19" s="82"/>
      <c r="L19" s="82"/>
      <c r="M19" s="82"/>
      <c r="N19" s="82"/>
      <c r="O19" s="97"/>
      <c r="P19" s="17"/>
    </row>
    <row r="20" spans="1:16" ht="15" thickTop="1" thickBot="1" x14ac:dyDescent="0.3">
      <c r="A20" s="17"/>
      <c r="B20" s="96"/>
      <c r="C20" s="85" t="s">
        <v>99</v>
      </c>
      <c r="D20" s="82"/>
      <c r="E20" s="82"/>
      <c r="F20" s="82"/>
      <c r="G20" s="82"/>
      <c r="H20" s="82"/>
      <c r="I20" s="82"/>
      <c r="J20" s="82"/>
      <c r="K20" s="82"/>
      <c r="L20" s="82"/>
      <c r="M20" s="82"/>
      <c r="N20" s="82"/>
      <c r="O20" s="97"/>
      <c r="P20" s="17"/>
    </row>
    <row r="21" spans="1:16" ht="15" thickTop="1" thickBot="1" x14ac:dyDescent="0.3">
      <c r="A21" s="17"/>
      <c r="B21" s="96"/>
      <c r="C21" s="82"/>
      <c r="D21" s="82"/>
      <c r="E21" s="82"/>
      <c r="F21" s="82"/>
      <c r="G21" s="82"/>
      <c r="H21" s="82"/>
      <c r="I21" s="82"/>
      <c r="J21" s="82"/>
      <c r="K21" s="82"/>
      <c r="L21" s="82"/>
      <c r="M21" s="82"/>
      <c r="N21" s="82"/>
      <c r="O21" s="97"/>
      <c r="P21" s="17"/>
    </row>
    <row r="22" spans="1:16" ht="15" thickTop="1" thickBot="1" x14ac:dyDescent="0.3">
      <c r="A22" s="17"/>
      <c r="B22" s="96"/>
      <c r="C22" s="82" t="s">
        <v>85</v>
      </c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97"/>
      <c r="P22" s="17"/>
    </row>
    <row r="23" spans="1:16" ht="15" thickTop="1" thickBot="1" x14ac:dyDescent="0.3">
      <c r="A23" s="17"/>
      <c r="B23" s="96"/>
      <c r="C23" s="82"/>
      <c r="D23" s="82"/>
      <c r="E23" s="82"/>
      <c r="F23" s="82"/>
      <c r="G23" s="82"/>
      <c r="H23" s="82"/>
      <c r="I23" s="82"/>
      <c r="J23" s="82"/>
      <c r="K23" s="82"/>
      <c r="L23" s="82"/>
      <c r="M23" s="82"/>
      <c r="N23" s="82"/>
      <c r="O23" s="97"/>
      <c r="P23" s="17"/>
    </row>
    <row r="24" spans="1:16" ht="15" thickTop="1" thickBot="1" x14ac:dyDescent="0.3">
      <c r="A24" s="17"/>
      <c r="B24" s="96"/>
      <c r="C24" s="84" t="s">
        <v>90</v>
      </c>
      <c r="D24" s="82"/>
      <c r="E24" s="82"/>
      <c r="F24" s="82"/>
      <c r="G24" s="82"/>
      <c r="H24" s="82"/>
      <c r="I24" s="82"/>
      <c r="J24" s="82"/>
      <c r="K24" s="82"/>
      <c r="L24" s="82"/>
      <c r="M24" s="82"/>
      <c r="N24" s="82"/>
      <c r="O24" s="97"/>
      <c r="P24" s="17"/>
    </row>
    <row r="25" spans="1:16" ht="15" thickTop="1" thickBot="1" x14ac:dyDescent="0.3">
      <c r="A25" s="17"/>
      <c r="B25" s="96"/>
      <c r="C25" s="84"/>
      <c r="D25" s="82"/>
      <c r="E25" s="82"/>
      <c r="F25" s="82"/>
      <c r="G25" s="82"/>
      <c r="H25" s="82"/>
      <c r="I25" s="82"/>
      <c r="J25" s="82"/>
      <c r="K25" s="82"/>
      <c r="L25" s="82"/>
      <c r="M25" s="82"/>
      <c r="N25" s="82"/>
      <c r="O25" s="97"/>
      <c r="P25" s="17"/>
    </row>
    <row r="26" spans="1:16" ht="15" thickTop="1" thickBot="1" x14ac:dyDescent="0.3">
      <c r="A26" s="17"/>
      <c r="B26" s="96"/>
      <c r="C26" s="82" t="s">
        <v>86</v>
      </c>
      <c r="D26" s="82"/>
      <c r="E26" s="82"/>
      <c r="F26" s="82"/>
      <c r="G26" s="82"/>
      <c r="H26" s="82"/>
      <c r="I26" s="82"/>
      <c r="J26" s="82"/>
      <c r="K26" s="82"/>
      <c r="L26" s="82"/>
      <c r="M26" s="82"/>
      <c r="N26" s="82"/>
      <c r="O26" s="97"/>
      <c r="P26" s="17"/>
    </row>
    <row r="27" spans="1:16" ht="21" customHeight="1" thickTop="1" thickBot="1" x14ac:dyDescent="0.3">
      <c r="A27" s="17"/>
      <c r="B27" s="98" t="s">
        <v>81</v>
      </c>
      <c r="C27" s="89" t="s">
        <v>80</v>
      </c>
      <c r="D27" s="88"/>
      <c r="E27" s="88"/>
      <c r="F27" s="88"/>
      <c r="G27" s="88"/>
      <c r="H27" s="88"/>
      <c r="I27" s="88"/>
      <c r="J27" s="88"/>
      <c r="K27" s="88"/>
      <c r="L27" s="88"/>
      <c r="M27" s="88"/>
      <c r="N27" s="88"/>
      <c r="O27" s="99"/>
      <c r="P27" s="17"/>
    </row>
    <row r="28" spans="1:16" ht="9" customHeight="1" thickTop="1" thickBot="1" x14ac:dyDescent="0.3">
      <c r="A28" s="17"/>
      <c r="B28" s="100"/>
      <c r="C28" s="101"/>
      <c r="D28" s="101"/>
      <c r="E28" s="101"/>
      <c r="F28" s="101"/>
      <c r="G28" s="101"/>
      <c r="H28" s="101"/>
      <c r="I28" s="101"/>
      <c r="J28" s="101"/>
      <c r="K28" s="101"/>
      <c r="L28" s="101"/>
      <c r="M28" s="101"/>
      <c r="N28" s="101"/>
      <c r="O28" s="102"/>
      <c r="P28" s="17"/>
    </row>
    <row r="29" spans="1:16" ht="14.4" thickTop="1" x14ac:dyDescent="0.25">
      <c r="B29" s="17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</row>
  </sheetData>
  <pageMargins left="0.7" right="0.7" top="0.75" bottom="0.75" header="0.3" footer="0.3"/>
  <pageSetup paperSize="9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Population!$C$2:$T$2</xm:f>
          </x14:formula1>
          <xm:sqref>F6:F7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/>
  </sheetPr>
  <dimension ref="A1:T8"/>
  <sheetViews>
    <sheetView tabSelected="1" workbookViewId="0">
      <selection activeCell="M24" sqref="M24"/>
    </sheetView>
  </sheetViews>
  <sheetFormatPr baseColWidth="10" defaultColWidth="11" defaultRowHeight="13.8" x14ac:dyDescent="0.25"/>
  <cols>
    <col min="2" max="2" width="30.5" customWidth="1"/>
    <col min="3" max="3" width="14.3984375" customWidth="1"/>
  </cols>
  <sheetData>
    <row r="1" spans="1:20" ht="14.4" thickBot="1" x14ac:dyDescent="0.3">
      <c r="A1" t="s">
        <v>51</v>
      </c>
    </row>
    <row r="2" spans="1:20" ht="14.4" thickBot="1" x14ac:dyDescent="0.3">
      <c r="B2" s="4" t="s">
        <v>42</v>
      </c>
      <c r="C2" s="9" t="s">
        <v>23</v>
      </c>
      <c r="D2" s="2" t="s">
        <v>24</v>
      </c>
      <c r="E2" s="2" t="s">
        <v>25</v>
      </c>
      <c r="F2" s="2" t="s">
        <v>26</v>
      </c>
      <c r="G2" s="2" t="s">
        <v>27</v>
      </c>
      <c r="H2" s="2" t="s">
        <v>28</v>
      </c>
      <c r="I2" s="2" t="s">
        <v>29</v>
      </c>
      <c r="J2" s="2" t="s">
        <v>30</v>
      </c>
      <c r="K2" s="2" t="s">
        <v>31</v>
      </c>
      <c r="L2" s="2" t="s">
        <v>32</v>
      </c>
      <c r="M2" s="2" t="s">
        <v>33</v>
      </c>
      <c r="N2" s="2" t="s">
        <v>34</v>
      </c>
      <c r="O2" s="2" t="s">
        <v>35</v>
      </c>
      <c r="P2" s="2" t="s">
        <v>36</v>
      </c>
      <c r="Q2" s="2" t="s">
        <v>37</v>
      </c>
      <c r="R2" s="2" t="s">
        <v>38</v>
      </c>
      <c r="S2" s="2" t="s">
        <v>39</v>
      </c>
      <c r="T2" s="3" t="s">
        <v>40</v>
      </c>
    </row>
    <row r="3" spans="1:20" x14ac:dyDescent="0.25">
      <c r="B3" s="10" t="s">
        <v>98</v>
      </c>
      <c r="C3" s="7">
        <v>1.53</v>
      </c>
      <c r="D3" s="25" t="s">
        <v>45</v>
      </c>
      <c r="E3" s="25" t="s">
        <v>45</v>
      </c>
      <c r="F3" s="25" t="s">
        <v>45</v>
      </c>
      <c r="G3" s="25" t="s">
        <v>45</v>
      </c>
      <c r="H3" s="25" t="s">
        <v>45</v>
      </c>
      <c r="I3" s="25" t="s">
        <v>45</v>
      </c>
      <c r="J3" s="25" t="s">
        <v>45</v>
      </c>
      <c r="K3" s="25" t="s">
        <v>45</v>
      </c>
      <c r="L3" s="25" t="s">
        <v>45</v>
      </c>
      <c r="M3" s="25" t="s">
        <v>45</v>
      </c>
      <c r="N3" s="25" t="s">
        <v>45</v>
      </c>
      <c r="O3" s="25" t="s">
        <v>45</v>
      </c>
      <c r="P3" s="25" t="s">
        <v>45</v>
      </c>
      <c r="Q3" s="25" t="s">
        <v>45</v>
      </c>
      <c r="R3" s="25" t="s">
        <v>45</v>
      </c>
      <c r="S3" s="25" t="s">
        <v>45</v>
      </c>
      <c r="T3" s="25" t="s">
        <v>45</v>
      </c>
    </row>
    <row r="4" spans="1:20" x14ac:dyDescent="0.25">
      <c r="B4" s="5" t="s">
        <v>95</v>
      </c>
      <c r="C4" s="8">
        <v>80.7</v>
      </c>
      <c r="D4" s="28" t="s">
        <v>45</v>
      </c>
      <c r="E4" s="28" t="s">
        <v>45</v>
      </c>
      <c r="F4" s="28" t="s">
        <v>45</v>
      </c>
      <c r="G4" s="28" t="s">
        <v>45</v>
      </c>
      <c r="H4" s="28" t="s">
        <v>45</v>
      </c>
      <c r="I4" s="28" t="s">
        <v>45</v>
      </c>
      <c r="J4" s="28" t="s">
        <v>45</v>
      </c>
      <c r="K4" s="28" t="s">
        <v>45</v>
      </c>
      <c r="L4" s="28" t="s">
        <v>45</v>
      </c>
      <c r="M4" s="28" t="s">
        <v>45</v>
      </c>
      <c r="N4" s="28" t="s">
        <v>45</v>
      </c>
      <c r="O4" s="28" t="s">
        <v>45</v>
      </c>
      <c r="P4" s="28" t="s">
        <v>45</v>
      </c>
      <c r="Q4" s="28" t="s">
        <v>45</v>
      </c>
      <c r="R4" s="28" t="s">
        <v>45</v>
      </c>
      <c r="S4" s="28" t="s">
        <v>45</v>
      </c>
      <c r="T4" s="28" t="s">
        <v>45</v>
      </c>
    </row>
    <row r="5" spans="1:20" x14ac:dyDescent="0.25">
      <c r="B5" s="5" t="s">
        <v>96</v>
      </c>
      <c r="C5" s="8">
        <v>84.9</v>
      </c>
      <c r="D5" s="28" t="s">
        <v>45</v>
      </c>
      <c r="E5" s="28" t="s">
        <v>45</v>
      </c>
      <c r="F5" s="28" t="s">
        <v>45</v>
      </c>
      <c r="G5" s="28" t="s">
        <v>45</v>
      </c>
      <c r="H5" s="28" t="s">
        <v>45</v>
      </c>
      <c r="I5" s="28" t="s">
        <v>45</v>
      </c>
      <c r="J5" s="28" t="s">
        <v>45</v>
      </c>
      <c r="K5" s="28" t="s">
        <v>45</v>
      </c>
      <c r="L5" s="28" t="s">
        <v>45</v>
      </c>
      <c r="M5" s="28" t="s">
        <v>45</v>
      </c>
      <c r="N5" s="28" t="s">
        <v>45</v>
      </c>
      <c r="O5" s="28" t="s">
        <v>45</v>
      </c>
      <c r="P5" s="28" t="s">
        <v>45</v>
      </c>
      <c r="Q5" s="28" t="s">
        <v>45</v>
      </c>
      <c r="R5" s="28" t="s">
        <v>45</v>
      </c>
      <c r="S5" s="28" t="s">
        <v>45</v>
      </c>
      <c r="T5" s="28" t="s">
        <v>45</v>
      </c>
    </row>
    <row r="6" spans="1:20" ht="14.4" thickBot="1" x14ac:dyDescent="0.3">
      <c r="B6" s="6" t="s">
        <v>97</v>
      </c>
      <c r="C6" s="15">
        <v>74892</v>
      </c>
      <c r="D6" s="30" t="s">
        <v>45</v>
      </c>
      <c r="E6" s="30" t="s">
        <v>45</v>
      </c>
      <c r="F6" s="30" t="s">
        <v>45</v>
      </c>
      <c r="G6" s="30" t="s">
        <v>45</v>
      </c>
      <c r="H6" s="30" t="s">
        <v>45</v>
      </c>
      <c r="I6" s="30" t="s">
        <v>45</v>
      </c>
      <c r="J6" s="30" t="s">
        <v>45</v>
      </c>
      <c r="K6" s="30" t="s">
        <v>45</v>
      </c>
      <c r="L6" s="30" t="s">
        <v>45</v>
      </c>
      <c r="M6" s="30" t="s">
        <v>45</v>
      </c>
      <c r="N6" s="30" t="s">
        <v>45</v>
      </c>
      <c r="O6" s="30" t="s">
        <v>45</v>
      </c>
      <c r="P6" s="30" t="s">
        <v>45</v>
      </c>
      <c r="Q6" s="30" t="s">
        <v>45</v>
      </c>
      <c r="R6" s="30" t="s">
        <v>45</v>
      </c>
      <c r="S6" s="30" t="s">
        <v>45</v>
      </c>
      <c r="T6" s="30" t="s">
        <v>45</v>
      </c>
    </row>
    <row r="8" spans="1:20" x14ac:dyDescent="0.25">
      <c r="B8" t="s">
        <v>79</v>
      </c>
      <c r="C8">
        <v>2015</v>
      </c>
      <c r="G8" t="s">
        <v>50</v>
      </c>
      <c r="I8">
        <v>2015</v>
      </c>
    </row>
  </sheetData>
  <pageMargins left="0.7" right="0.7" top="0.75" bottom="0.75" header="0.3" footer="0.3"/>
  <pageSetup paperSize="9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>
          <x14:formula1>
            <xm:f>'Liste Taux Fécondité'!$C$1:$AR$1</xm:f>
          </x14:formula1>
          <xm:sqref>D3:T3</xm:sqref>
        </x14:dataValidation>
        <x14:dataValidation type="list" allowBlank="1" showInputMessage="1" showErrorMessage="1">
          <x14:formula1>
            <xm:f>'Liste quot persp Mortalité Hom'!$C$1:$AH$1</xm:f>
          </x14:formula1>
          <xm:sqref>D4:T4</xm:sqref>
        </x14:dataValidation>
        <x14:dataValidation type="list" allowBlank="1" showInputMessage="1" showErrorMessage="1">
          <x14:formula1>
            <xm:f>'Liste quot persp Mortalité Fem'!$C$1:$AH$1</xm:f>
          </x14:formula1>
          <xm:sqref>D5:T5</xm:sqref>
        </x14:dataValidation>
        <x14:dataValidation type="list" allowBlank="1" showInputMessage="1" showErrorMessage="1">
          <x14:formula1>
            <xm:f>'Liste solde migratoire Hom'!$C$1:$AH$1</xm:f>
          </x14:formula1>
          <xm:sqref>D6:T6</xm:sqref>
        </x14:dataValidation>
        <x14:dataValidation type="list" allowBlank="1" showInputMessage="1" showErrorMessage="1">
          <x14:formula1>
            <xm:f>Population!$C$2:$T$2</xm:f>
          </x14:formula1>
          <xm:sqref>C8 I8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/>
  </sheetPr>
  <dimension ref="B1:G65"/>
  <sheetViews>
    <sheetView workbookViewId="0"/>
  </sheetViews>
  <sheetFormatPr baseColWidth="10" defaultColWidth="11" defaultRowHeight="13.8" x14ac:dyDescent="0.25"/>
  <cols>
    <col min="1" max="1" width="5" customWidth="1"/>
    <col min="3" max="4" width="19.8984375" customWidth="1"/>
    <col min="5" max="5" width="17.5" customWidth="1"/>
    <col min="6" max="7" width="19.8984375" customWidth="1"/>
  </cols>
  <sheetData>
    <row r="1" spans="2:7" x14ac:dyDescent="0.25">
      <c r="B1" t="s">
        <v>57</v>
      </c>
    </row>
    <row r="2" spans="2:7" ht="14.4" thickBot="1" x14ac:dyDescent="0.3"/>
    <row r="3" spans="2:7" ht="28.2" thickBot="1" x14ac:dyDescent="0.3">
      <c r="B3" s="33" t="s">
        <v>42</v>
      </c>
      <c r="C3" s="45" t="s">
        <v>52</v>
      </c>
      <c r="D3" s="46" t="s">
        <v>58</v>
      </c>
      <c r="E3" s="46" t="s">
        <v>59</v>
      </c>
      <c r="F3" s="46" t="s">
        <v>41</v>
      </c>
      <c r="G3" s="47" t="s">
        <v>53</v>
      </c>
    </row>
    <row r="4" spans="2:7" x14ac:dyDescent="0.25">
      <c r="B4" s="42" t="s">
        <v>23</v>
      </c>
      <c r="C4" s="48">
        <v>7870134</v>
      </c>
      <c r="D4" s="38">
        <f>417549/5</f>
        <v>83509.8</v>
      </c>
      <c r="E4" s="38">
        <f>322769/5</f>
        <v>64553.8</v>
      </c>
      <c r="F4" s="38">
        <f>374458/5</f>
        <v>74891.600000000006</v>
      </c>
      <c r="G4" s="39">
        <v>8327126</v>
      </c>
    </row>
    <row r="5" spans="2:7" x14ac:dyDescent="0.25">
      <c r="B5" s="40" t="str">
        <f>IF('Mode d''emploi'!$F$6&gt;=2020,"2016-2020","-")</f>
        <v>-</v>
      </c>
      <c r="C5" s="49" t="str">
        <f>IF('Mode d''emploi'!$F$6&gt;=2020,G4,"-")</f>
        <v>-</v>
      </c>
      <c r="D5" s="50" t="str">
        <f>IF('Mode d''emploi'!$F$6&gt;=2020,Fécondité!C$22/5,"-")</f>
        <v>-</v>
      </c>
      <c r="E5" s="50" t="str">
        <f>IF('Mode d''emploi'!$F$6&gt;=2020,((C5-G5)/5)+D5+F5,"-")</f>
        <v>-</v>
      </c>
      <c r="F5" s="50" t="str">
        <f>IF('Mode d''emploi'!$F$6&gt;=2020,'Hypothèses et Graphiques'!D$6,"-")</f>
        <v>-</v>
      </c>
      <c r="G5" s="51" t="str">
        <f>IF('Mode d''emploi'!$F$6&gt;=2020,Population!D$48,"-")</f>
        <v>-</v>
      </c>
    </row>
    <row r="6" spans="2:7" x14ac:dyDescent="0.25">
      <c r="B6" s="40" t="str">
        <f>IF('Mode d''emploi'!$F$6&gt;=2025,"2021-2025","-")</f>
        <v>-</v>
      </c>
      <c r="C6" s="49" t="str">
        <f>IF('Mode d''emploi'!$F$6&gt;=2025,G5,"-")</f>
        <v>-</v>
      </c>
      <c r="D6" s="50" t="str">
        <f>IF('Mode d''emploi'!$F$6&gt;=2025,Fécondité!D$22/5,"-")</f>
        <v>-</v>
      </c>
      <c r="E6" s="50" t="str">
        <f>IF('Mode d''emploi'!$F$6&gt;=2025,((C6-G6)/5)+D6+F6,"-")</f>
        <v>-</v>
      </c>
      <c r="F6" s="50" t="str">
        <f>IF('Mode d''emploi'!$F$6&gt;=2025,'Hypothèses et Graphiques'!E$6,"-")</f>
        <v>-</v>
      </c>
      <c r="G6" s="51" t="str">
        <f>IF('Mode d''emploi'!$F$6&gt;=2025,Population!E$48,"-")</f>
        <v>-</v>
      </c>
    </row>
    <row r="7" spans="2:7" x14ac:dyDescent="0.25">
      <c r="B7" s="40" t="str">
        <f>IF('Mode d''emploi'!$F$6&gt;=2030,"2026-2030","-")</f>
        <v>-</v>
      </c>
      <c r="C7" s="49" t="str">
        <f>IF('Mode d''emploi'!$F$6&gt;=2030,G6,"-")</f>
        <v>-</v>
      </c>
      <c r="D7" s="50" t="str">
        <f>IF('Mode d''emploi'!$F$6&gt;=2030,Fécondité!E$22/5,"-")</f>
        <v>-</v>
      </c>
      <c r="E7" s="50" t="str">
        <f>IF('Mode d''emploi'!$F$6&gt;=2030,((C7-G7)/5)+D7+F7,"-")</f>
        <v>-</v>
      </c>
      <c r="F7" s="50" t="str">
        <f>IF('Mode d''emploi'!$F$6&gt;=2030,'Hypothèses et Graphiques'!F$6,"-")</f>
        <v>-</v>
      </c>
      <c r="G7" s="51" t="str">
        <f>IF('Mode d''emploi'!$F$6&gt;=2030,Population!F$48,"-")</f>
        <v>-</v>
      </c>
    </row>
    <row r="8" spans="2:7" x14ac:dyDescent="0.25">
      <c r="B8" s="40" t="str">
        <f>IF('Mode d''emploi'!$F$6&gt;=2035,"2031-2035","-")</f>
        <v>-</v>
      </c>
      <c r="C8" s="49" t="str">
        <f>IF('Mode d''emploi'!$F$6&gt;=2035,G7,"-")</f>
        <v>-</v>
      </c>
      <c r="D8" s="50" t="str">
        <f>IF('Mode d''emploi'!$F$6&gt;=2035,Fécondité!F$22/5,"-")</f>
        <v>-</v>
      </c>
      <c r="E8" s="50" t="str">
        <f>IF('Mode d''emploi'!$F$6&gt;=2035,((C8-G8)/5)+D8+F8,"-")</f>
        <v>-</v>
      </c>
      <c r="F8" s="50" t="str">
        <f>IF('Mode d''emploi'!$F$6&gt;=2035,'Hypothèses et Graphiques'!G$6,"-")</f>
        <v>-</v>
      </c>
      <c r="G8" s="51" t="str">
        <f>IF('Mode d''emploi'!$F$6&gt;=2035,Population!G$48,"-")</f>
        <v>-</v>
      </c>
    </row>
    <row r="9" spans="2:7" x14ac:dyDescent="0.25">
      <c r="B9" s="40" t="str">
        <f>IF('Mode d''emploi'!$F$6&gt;=2040,"2036-2040","-")</f>
        <v>-</v>
      </c>
      <c r="C9" s="49" t="str">
        <f>IF('Mode d''emploi'!$F$6&gt;=2040,G8,"-")</f>
        <v>-</v>
      </c>
      <c r="D9" s="50" t="str">
        <f>IF('Mode d''emploi'!$F$6&gt;=2040,Fécondité!F$22/5,"-")</f>
        <v>-</v>
      </c>
      <c r="E9" s="50" t="str">
        <f>IF('Mode d''emploi'!$F$6&gt;=2040,((C9-G9)/5)+D9+F9,"-")</f>
        <v>-</v>
      </c>
      <c r="F9" s="50" t="str">
        <f>IF('Mode d''emploi'!$F$6&gt;=2040,'Hypothèses et Graphiques'!H$6,"-")</f>
        <v>-</v>
      </c>
      <c r="G9" s="51" t="str">
        <f>IF('Mode d''emploi'!$F$6&gt;=2040,Population!H$48,"-")</f>
        <v>-</v>
      </c>
    </row>
    <row r="10" spans="2:7" x14ac:dyDescent="0.25">
      <c r="B10" s="40" t="str">
        <f>IF('Mode d''emploi'!$F$6&gt;=2045,"2041-2045","-")</f>
        <v>-</v>
      </c>
      <c r="C10" s="49" t="str">
        <f>IF('Mode d''emploi'!$F$6&gt;=2045,G9,"-")</f>
        <v>-</v>
      </c>
      <c r="D10" s="50" t="str">
        <f>IF('Mode d''emploi'!$F$6&gt;=2045,Fécondité!H$22/5,"-")</f>
        <v>-</v>
      </c>
      <c r="E10" s="50" t="str">
        <f>IF('Mode d''emploi'!$F$6&gt;=2045,((C10-G10)/5)+D10+F10,"-")</f>
        <v>-</v>
      </c>
      <c r="F10" s="50" t="str">
        <f>IF('Mode d''emploi'!$F$6&gt;=2045,'Hypothèses et Graphiques'!I$6,"-")</f>
        <v>-</v>
      </c>
      <c r="G10" s="51" t="str">
        <f>IF('Mode d''emploi'!$F$6&gt;=2045,Population!I$48,"-")</f>
        <v>-</v>
      </c>
    </row>
    <row r="11" spans="2:7" x14ac:dyDescent="0.25">
      <c r="B11" s="40" t="str">
        <f>IF('Mode d''emploi'!$F$6&gt;=2050,"2046-2050","-")</f>
        <v>-</v>
      </c>
      <c r="C11" s="49" t="str">
        <f>IF('Mode d''emploi'!$F$6&gt;=2050,G10,"-")</f>
        <v>-</v>
      </c>
      <c r="D11" s="50" t="str">
        <f>IF('Mode d''emploi'!$F$6&gt;=2050,Fécondité!I$22/5,"-")</f>
        <v>-</v>
      </c>
      <c r="E11" s="50" t="str">
        <f>IF('Mode d''emploi'!$F$6&gt;=2050,((C11-G11)/5)+D11+F11,"-")</f>
        <v>-</v>
      </c>
      <c r="F11" s="50" t="str">
        <f>IF('Mode d''emploi'!$F$6&gt;=2050,'Hypothèses et Graphiques'!J$6,"-")</f>
        <v>-</v>
      </c>
      <c r="G11" s="51" t="str">
        <f>IF('Mode d''emploi'!$F$6&gt;=2050,Population!J$48,"-")</f>
        <v>-</v>
      </c>
    </row>
    <row r="12" spans="2:7" x14ac:dyDescent="0.25">
      <c r="B12" s="40" t="str">
        <f>IF('Mode d''emploi'!$F$6&gt;=2055,"2051-2055","-")</f>
        <v>-</v>
      </c>
      <c r="C12" s="49" t="str">
        <f>IF('Mode d''emploi'!$F$6&gt;=2055,G11,"-")</f>
        <v>-</v>
      </c>
      <c r="D12" s="50" t="str">
        <f>IF('Mode d''emploi'!$F$6&gt;=2055,Fécondité!J$22/5,"-")</f>
        <v>-</v>
      </c>
      <c r="E12" s="50" t="str">
        <f>IF('Mode d''emploi'!$F$6&gt;=2055,((C12-G12)/5)+D12+F12,"-")</f>
        <v>-</v>
      </c>
      <c r="F12" s="50" t="str">
        <f>IF('Mode d''emploi'!$F$6&gt;=2055,'Hypothèses et Graphiques'!K$6,"-")</f>
        <v>-</v>
      </c>
      <c r="G12" s="51" t="str">
        <f>IF('Mode d''emploi'!$F$6&gt;=2055,Population!K$48,"-")</f>
        <v>-</v>
      </c>
    </row>
    <row r="13" spans="2:7" x14ac:dyDescent="0.25">
      <c r="B13" s="40" t="str">
        <f>IF('Mode d''emploi'!$F$6&gt;=2060,"2056-2060","-")</f>
        <v>-</v>
      </c>
      <c r="C13" s="49" t="str">
        <f>IF('Mode d''emploi'!$F$6&gt;=2060,G12,"-")</f>
        <v>-</v>
      </c>
      <c r="D13" s="50" t="str">
        <f>IF('Mode d''emploi'!$F$6&gt;=2060,Fécondité!K$22/5,"-")</f>
        <v>-</v>
      </c>
      <c r="E13" s="50" t="str">
        <f>IF('Mode d''emploi'!$F$6&gt;=2060,((C13-G13)/5)+D13+F13,"-")</f>
        <v>-</v>
      </c>
      <c r="F13" s="50" t="str">
        <f>IF('Mode d''emploi'!$F$6&gt;=2060,'Hypothèses et Graphiques'!L$6,"-")</f>
        <v>-</v>
      </c>
      <c r="G13" s="51" t="str">
        <f>IF('Mode d''emploi'!$F$6&gt;=2060,Population!L$48,"-")</f>
        <v>-</v>
      </c>
    </row>
    <row r="14" spans="2:7" x14ac:dyDescent="0.25">
      <c r="B14" s="40" t="str">
        <f>IF('Mode d''emploi'!$F$6&gt;=2065,"2061-2065","-")</f>
        <v>-</v>
      </c>
      <c r="C14" s="49" t="str">
        <f>IF('Mode d''emploi'!$F$6&gt;=2065,G13,"-")</f>
        <v>-</v>
      </c>
      <c r="D14" s="50" t="str">
        <f>IF('Mode d''emploi'!$F$6&gt;=2065,Fécondité!L$22/5,"-")</f>
        <v>-</v>
      </c>
      <c r="E14" s="50" t="str">
        <f>IF('Mode d''emploi'!$F$6&gt;=2065,((C14-G14)/5)+D14+F14,"-")</f>
        <v>-</v>
      </c>
      <c r="F14" s="50" t="str">
        <f>IF('Mode d''emploi'!$F$6&gt;=2065,'Hypothèses et Graphiques'!M$6,"-")</f>
        <v>-</v>
      </c>
      <c r="G14" s="51" t="str">
        <f>IF('Mode d''emploi'!$F$6&gt;=2065,Population!M$48,"-")</f>
        <v>-</v>
      </c>
    </row>
    <row r="15" spans="2:7" x14ac:dyDescent="0.25">
      <c r="B15" s="40" t="str">
        <f>IF('Mode d''emploi'!$F$6&gt;=2070,"2066-2070","-")</f>
        <v>-</v>
      </c>
      <c r="C15" s="49" t="str">
        <f>IF('Mode d''emploi'!$F$6&gt;=2070,G14,"-")</f>
        <v>-</v>
      </c>
      <c r="D15" s="50" t="str">
        <f>IF('Mode d''emploi'!$F$6&gt;=2070,Fécondité!M$22/5,"-")</f>
        <v>-</v>
      </c>
      <c r="E15" s="50" t="str">
        <f>IF('Mode d''emploi'!$F$6&gt;=2070,((C15-G15)/5)+D15+F15,"-")</f>
        <v>-</v>
      </c>
      <c r="F15" s="50" t="str">
        <f>IF('Mode d''emploi'!$F$6&gt;=2070,'Hypothèses et Graphiques'!N$6,"-")</f>
        <v>-</v>
      </c>
      <c r="G15" s="51" t="str">
        <f>IF('Mode d''emploi'!$F$6&gt;=2070,Population!N$48,"-")</f>
        <v>-</v>
      </c>
    </row>
    <row r="16" spans="2:7" x14ac:dyDescent="0.25">
      <c r="B16" s="40" t="str">
        <f>IF('Mode d''emploi'!$F$6&gt;=2075,"2071-2075","-")</f>
        <v>-</v>
      </c>
      <c r="C16" s="49" t="str">
        <f>IF('Mode d''emploi'!$F$6&gt;=2075,G15,"-")</f>
        <v>-</v>
      </c>
      <c r="D16" s="50" t="str">
        <f>IF('Mode d''emploi'!$F$6&gt;=2075,Fécondité!N$22/5,"-")</f>
        <v>-</v>
      </c>
      <c r="E16" s="50" t="str">
        <f>IF('Mode d''emploi'!$F$6&gt;=2075,((C16-G16)/5)+D16+F16,"-")</f>
        <v>-</v>
      </c>
      <c r="F16" s="50" t="str">
        <f>IF('Mode d''emploi'!$F$6&gt;=2075,'Hypothèses et Graphiques'!O$6,"-")</f>
        <v>-</v>
      </c>
      <c r="G16" s="51" t="str">
        <f>IF('Mode d''emploi'!$F$6&gt;=2075,Population!O$48,"-")</f>
        <v>-</v>
      </c>
    </row>
    <row r="17" spans="2:7" x14ac:dyDescent="0.25">
      <c r="B17" s="40" t="str">
        <f>IF('Mode d''emploi'!$F$6&gt;=2080,"2076-2080","-")</f>
        <v>-</v>
      </c>
      <c r="C17" s="49" t="str">
        <f>IF('Mode d''emploi'!$F$6&gt;=2080,G16,"-")</f>
        <v>-</v>
      </c>
      <c r="D17" s="50" t="str">
        <f>IF('Mode d''emploi'!$F$6&gt;=2080,Fécondité!O$22/5,"-")</f>
        <v>-</v>
      </c>
      <c r="E17" s="50" t="str">
        <f>IF('Mode d''emploi'!$F$6&gt;=2080,((C17-G17)/5)+D17+F17,"-")</f>
        <v>-</v>
      </c>
      <c r="F17" s="50" t="str">
        <f>IF('Mode d''emploi'!$F$6&gt;=2080,'Hypothèses et Graphiques'!P$6,"-")</f>
        <v>-</v>
      </c>
      <c r="G17" s="51" t="str">
        <f>IF('Mode d''emploi'!$F$6&gt;=2080,Population!P$48,"-")</f>
        <v>-</v>
      </c>
    </row>
    <row r="18" spans="2:7" x14ac:dyDescent="0.25">
      <c r="B18" s="40" t="str">
        <f>IF('Mode d''emploi'!$F$6&gt;=2085,"2081-2085","-")</f>
        <v>-</v>
      </c>
      <c r="C18" s="49" t="str">
        <f>IF('Mode d''emploi'!$F$6&gt;=2085,G17,"-")</f>
        <v>-</v>
      </c>
      <c r="D18" s="50" t="str">
        <f>IF('Mode d''emploi'!$F$6&gt;=2085,Fécondité!P$22/5,"-")</f>
        <v>-</v>
      </c>
      <c r="E18" s="50" t="str">
        <f>IF('Mode d''emploi'!$F$6&gt;=2085,((C18-G18)/5)+D18+F18,"-")</f>
        <v>-</v>
      </c>
      <c r="F18" s="50" t="str">
        <f>IF('Mode d''emploi'!$F$6&gt;=2085,'Hypothèses et Graphiques'!Q$6,"-")</f>
        <v>-</v>
      </c>
      <c r="G18" s="51" t="str">
        <f>IF('Mode d''emploi'!$F$6&gt;=2085,Population!Q$48,"-")</f>
        <v>-</v>
      </c>
    </row>
    <row r="19" spans="2:7" x14ac:dyDescent="0.25">
      <c r="B19" s="40" t="str">
        <f>IF('Mode d''emploi'!$F$6&gt;=2090,"2086-2090","-")</f>
        <v>-</v>
      </c>
      <c r="C19" s="49" t="str">
        <f>IF('Mode d''emploi'!$F$6&gt;=2090,G18,"-")</f>
        <v>-</v>
      </c>
      <c r="D19" s="50" t="str">
        <f>IF('Mode d''emploi'!$F$6&gt;=2090,Fécondité!Q$22/5,"-")</f>
        <v>-</v>
      </c>
      <c r="E19" s="50" t="str">
        <f>IF('Mode d''emploi'!$F$6&gt;=2090,((C19-G19)/5)+D19+F19,"-")</f>
        <v>-</v>
      </c>
      <c r="F19" s="50" t="str">
        <f>IF('Mode d''emploi'!$F$6&gt;=2090,'Hypothèses et Graphiques'!R$6,"-")</f>
        <v>-</v>
      </c>
      <c r="G19" s="51" t="str">
        <f>IF('Mode d''emploi'!$F$6&gt;=2090,Population!R$48,"-")</f>
        <v>-</v>
      </c>
    </row>
    <row r="20" spans="2:7" x14ac:dyDescent="0.25">
      <c r="B20" s="40" t="str">
        <f>IF('Mode d''emploi'!$F$6&gt;=2095,"2091-2095","-")</f>
        <v>-</v>
      </c>
      <c r="C20" s="49" t="str">
        <f>IF('Mode d''emploi'!$F$6&gt;=2095,G19,"-")</f>
        <v>-</v>
      </c>
      <c r="D20" s="50" t="str">
        <f>IF('Mode d''emploi'!$F$6&gt;=2095,Fécondité!R$22/5,"-")</f>
        <v>-</v>
      </c>
      <c r="E20" s="50" t="str">
        <f>IF('Mode d''emploi'!$F$6&gt;=2095,((C20-G20)/5)+D20+F20,"-")</f>
        <v>-</v>
      </c>
      <c r="F20" s="50" t="str">
        <f>IF('Mode d''emploi'!$F$6&gt;=2095,'Hypothèses et Graphiques'!S$6,"-")</f>
        <v>-</v>
      </c>
      <c r="G20" s="51" t="str">
        <f>IF('Mode d''emploi'!$F$6&gt;=2095,Population!S$48,"-")</f>
        <v>-</v>
      </c>
    </row>
    <row r="21" spans="2:7" ht="14.4" thickBot="1" x14ac:dyDescent="0.3">
      <c r="B21" s="41" t="str">
        <f>IF('Mode d''emploi'!$F$6&gt;=2100,"2095-2100","-")</f>
        <v>-</v>
      </c>
      <c r="C21" s="52" t="str">
        <f>IF('Mode d''emploi'!$F$6&gt;=2100,G20,"-")</f>
        <v>-</v>
      </c>
      <c r="D21" s="53" t="str">
        <f>IF('Mode d''emploi'!$F$6&gt;=2100,Fécondité!S$22/5,"-")</f>
        <v>-</v>
      </c>
      <c r="E21" s="53" t="str">
        <f>IF('Mode d''emploi'!$F$6&gt;=2100,((C21-G21)/5)+D21+F21,"-")</f>
        <v>-</v>
      </c>
      <c r="F21" s="53" t="str">
        <f>IF('Mode d''emploi'!$F$6&gt;=2100,'Hypothèses et Graphiques'!T$6,"-")</f>
        <v>-</v>
      </c>
      <c r="G21" s="54" t="str">
        <f>IF('Mode d''emploi'!$F$6&gt;=2100,Population!T$48,"-")</f>
        <v>-</v>
      </c>
    </row>
    <row r="23" spans="2:7" x14ac:dyDescent="0.25">
      <c r="B23" t="s">
        <v>62</v>
      </c>
    </row>
    <row r="24" spans="2:7" ht="14.4" thickBot="1" x14ac:dyDescent="0.3"/>
    <row r="25" spans="2:7" ht="42" thickBot="1" x14ac:dyDescent="0.3">
      <c r="B25" s="33" t="s">
        <v>42</v>
      </c>
      <c r="C25" s="58" t="s">
        <v>54</v>
      </c>
      <c r="D25" s="46" t="s">
        <v>60</v>
      </c>
      <c r="E25" s="59" t="s">
        <v>61</v>
      </c>
      <c r="F25" s="56"/>
      <c r="G25" s="56"/>
    </row>
    <row r="26" spans="2:7" x14ac:dyDescent="0.25">
      <c r="B26" s="42" t="s">
        <v>23</v>
      </c>
      <c r="C26" s="60">
        <f>100*(POWER(G4/C4,1/5)-1)</f>
        <v>1.1352615270809663</v>
      </c>
      <c r="D26" s="55">
        <f>100*(D4-E4)/C4</f>
        <v>0.24085993961475116</v>
      </c>
      <c r="E26" s="57">
        <f>100*F4/C4</f>
        <v>0.95159243794324222</v>
      </c>
      <c r="F26" s="17"/>
      <c r="G26" s="17"/>
    </row>
    <row r="27" spans="2:7" x14ac:dyDescent="0.25">
      <c r="B27" s="43" t="str">
        <f>IF('Mode d''emploi'!$F$6&gt;=2020,"2016-2020","-")</f>
        <v>-</v>
      </c>
      <c r="C27" s="61" t="str">
        <f>IF('Mode d''emploi'!$F$6&gt;=2020,100*(POWER(G5/C5,1/5)-1),"-")</f>
        <v>-</v>
      </c>
      <c r="D27" s="62" t="str">
        <f>IF('Mode d''emploi'!$F$6&gt;=2020,100*(D5-E5)/C5,"-")</f>
        <v>-</v>
      </c>
      <c r="E27" s="63" t="str">
        <f>IF('Mode d''emploi'!$F$6&gt;=2020,100*F5/C5,"-")</f>
        <v>-</v>
      </c>
      <c r="F27" s="17"/>
      <c r="G27" s="17"/>
    </row>
    <row r="28" spans="2:7" x14ac:dyDescent="0.25">
      <c r="B28" s="43" t="str">
        <f>IF('Mode d''emploi'!$F$6&gt;=2025,"2021-2025","-")</f>
        <v>-</v>
      </c>
      <c r="C28" s="61" t="str">
        <f>IF('Mode d''emploi'!$F$6&gt;=2025,100*(POWER(G6/C6,1/5)-1),"-")</f>
        <v>-</v>
      </c>
      <c r="D28" s="62" t="str">
        <f>IF('Mode d''emploi'!$F$6&gt;=2025,100*(D6-E6)/C6,"-")</f>
        <v>-</v>
      </c>
      <c r="E28" s="63" t="str">
        <f>IF('Mode d''emploi'!$F$6&gt;=2025,100*F6/C6,"-")</f>
        <v>-</v>
      </c>
      <c r="F28" s="17"/>
      <c r="G28" s="17"/>
    </row>
    <row r="29" spans="2:7" x14ac:dyDescent="0.25">
      <c r="B29" s="43" t="str">
        <f>IF('Mode d''emploi'!$F$6&gt;=2030,"2026-2030","-")</f>
        <v>-</v>
      </c>
      <c r="C29" s="61" t="str">
        <f>IF('Mode d''emploi'!$F$6&gt;=2030,100*(POWER(G7/C7,1/5)-1),"-")</f>
        <v>-</v>
      </c>
      <c r="D29" s="62" t="str">
        <f>IF('Mode d''emploi'!$F$6&gt;=2030,100*(D7-E7)/C7,"-")</f>
        <v>-</v>
      </c>
      <c r="E29" s="63" t="str">
        <f>IF('Mode d''emploi'!$F$6&gt;=2030,100*F7/C7,"-")</f>
        <v>-</v>
      </c>
      <c r="F29" s="17"/>
      <c r="G29" s="17"/>
    </row>
    <row r="30" spans="2:7" x14ac:dyDescent="0.25">
      <c r="B30" s="43" t="str">
        <f>IF('Mode d''emploi'!$F$6&gt;=2035,"2031-2035","-")</f>
        <v>-</v>
      </c>
      <c r="C30" s="61" t="str">
        <f>IF('Mode d''emploi'!$F$6&gt;=2035,100*(POWER(G8/C8,1/5)-1),"-")</f>
        <v>-</v>
      </c>
      <c r="D30" s="62" t="str">
        <f>IF('Mode d''emploi'!$F$6&gt;=2035,100*(D8-E8)/C8,"-")</f>
        <v>-</v>
      </c>
      <c r="E30" s="63" t="str">
        <f>IF('Mode d''emploi'!$F$6&gt;=2035,100*F8/C8,"-")</f>
        <v>-</v>
      </c>
      <c r="F30" s="17"/>
      <c r="G30" s="17"/>
    </row>
    <row r="31" spans="2:7" x14ac:dyDescent="0.25">
      <c r="B31" s="43" t="str">
        <f>IF('Mode d''emploi'!$F$6&gt;=2040,"2036-2040","-")</f>
        <v>-</v>
      </c>
      <c r="C31" s="61" t="str">
        <f>IF('Mode d''emploi'!$F$6&gt;=2040,100*(POWER(G9/C9,1/5)-1),"-")</f>
        <v>-</v>
      </c>
      <c r="D31" s="62" t="str">
        <f>IF('Mode d''emploi'!$F$6&gt;=2040,100*(D9-E9)/C9,"-")</f>
        <v>-</v>
      </c>
      <c r="E31" s="63" t="str">
        <f>IF('Mode d''emploi'!$F$6&gt;=2040,100*F9/C9,"-")</f>
        <v>-</v>
      </c>
      <c r="F31" s="17"/>
      <c r="G31" s="17"/>
    </row>
    <row r="32" spans="2:7" x14ac:dyDescent="0.25">
      <c r="B32" s="43" t="str">
        <f>IF('Mode d''emploi'!$F$6&gt;=2045,"2041-2045","-")</f>
        <v>-</v>
      </c>
      <c r="C32" s="61" t="str">
        <f>IF('Mode d''emploi'!$F$6&gt;=2045,100*(POWER(G10/C10,1/5)-1),"-")</f>
        <v>-</v>
      </c>
      <c r="D32" s="62" t="str">
        <f>IF('Mode d''emploi'!$F$6&gt;=2045,100*(D10-E10)/C10,"-")</f>
        <v>-</v>
      </c>
      <c r="E32" s="63" t="str">
        <f>IF('Mode d''emploi'!$F$6&gt;=2045,100*F10/C10,"-")</f>
        <v>-</v>
      </c>
      <c r="F32" s="17"/>
      <c r="G32" s="17"/>
    </row>
    <row r="33" spans="2:7" x14ac:dyDescent="0.25">
      <c r="B33" s="43" t="str">
        <f>IF('Mode d''emploi'!$F$6&gt;=2050,"2046-2050","-")</f>
        <v>-</v>
      </c>
      <c r="C33" s="61" t="str">
        <f>IF('Mode d''emploi'!$F$6&gt;=2050,100*(POWER(G11/C11,1/5)-1),"-")</f>
        <v>-</v>
      </c>
      <c r="D33" s="62" t="str">
        <f>IF('Mode d''emploi'!$F$6&gt;=2050,100*(D11-E11)/C11,"-")</f>
        <v>-</v>
      </c>
      <c r="E33" s="63" t="str">
        <f>IF('Mode d''emploi'!$F$6&gt;=2050,100*F11/C11,"-")</f>
        <v>-</v>
      </c>
      <c r="F33" s="17"/>
      <c r="G33" s="17"/>
    </row>
    <row r="34" spans="2:7" x14ac:dyDescent="0.25">
      <c r="B34" s="43" t="str">
        <f>IF('Mode d''emploi'!$F$6&gt;=2055,"2051-2055","-")</f>
        <v>-</v>
      </c>
      <c r="C34" s="61" t="str">
        <f>IF('Mode d''emploi'!$F$6&gt;=2055,100*(POWER(G12/C12,1/5)-1),"-")</f>
        <v>-</v>
      </c>
      <c r="D34" s="62" t="str">
        <f>IF('Mode d''emploi'!$F$6&gt;=2055,100*(D12-E12)/C12,"-")</f>
        <v>-</v>
      </c>
      <c r="E34" s="63" t="str">
        <f>IF('Mode d''emploi'!$F$6&gt;=2055,100*F12/C12,"-")</f>
        <v>-</v>
      </c>
      <c r="F34" s="17"/>
      <c r="G34" s="17"/>
    </row>
    <row r="35" spans="2:7" x14ac:dyDescent="0.25">
      <c r="B35" s="43" t="str">
        <f>IF('Mode d''emploi'!$F$6&gt;=2060,"2056-2060","-")</f>
        <v>-</v>
      </c>
      <c r="C35" s="61" t="str">
        <f>IF('Mode d''emploi'!$F$6&gt;=2060,100*(POWER(G13/C13,1/5)-1),"-")</f>
        <v>-</v>
      </c>
      <c r="D35" s="62" t="str">
        <f>IF('Mode d''emploi'!$F$6&gt;=2060,100*(D13-E13)/C13,"-")</f>
        <v>-</v>
      </c>
      <c r="E35" s="63" t="str">
        <f>IF('Mode d''emploi'!$F$6&gt;=2060,100*F13/C13,"-")</f>
        <v>-</v>
      </c>
      <c r="F35" s="17"/>
      <c r="G35" s="17"/>
    </row>
    <row r="36" spans="2:7" x14ac:dyDescent="0.25">
      <c r="B36" s="43" t="str">
        <f>IF('Mode d''emploi'!$F$6&gt;=2065,"2061-2065","-")</f>
        <v>-</v>
      </c>
      <c r="C36" s="61" t="str">
        <f>IF('Mode d''emploi'!$F$6&gt;=2065,100*(POWER(G14/C14,1/5)-1),"-")</f>
        <v>-</v>
      </c>
      <c r="D36" s="62" t="str">
        <f>IF('Mode d''emploi'!$F$6&gt;=2065,100*(D14-E14)/C14,"-")</f>
        <v>-</v>
      </c>
      <c r="E36" s="63" t="str">
        <f>IF('Mode d''emploi'!$F$6&gt;=2065,100*F14/C14,"-")</f>
        <v>-</v>
      </c>
      <c r="F36" s="17"/>
      <c r="G36" s="17"/>
    </row>
    <row r="37" spans="2:7" x14ac:dyDescent="0.25">
      <c r="B37" s="43" t="str">
        <f>IF('Mode d''emploi'!$F$6&gt;=2070,"2066-2070","-")</f>
        <v>-</v>
      </c>
      <c r="C37" s="61" t="str">
        <f>IF('Mode d''emploi'!$F$6&gt;=2070,100*(POWER(G15/C15,1/5)-1),"-")</f>
        <v>-</v>
      </c>
      <c r="D37" s="62" t="str">
        <f>IF('Mode d''emploi'!$F$6&gt;=2070,100*(D15-E15)/C15,"-")</f>
        <v>-</v>
      </c>
      <c r="E37" s="63" t="str">
        <f>IF('Mode d''emploi'!$F$6&gt;=2070,100*F15/C15,"-")</f>
        <v>-</v>
      </c>
      <c r="F37" s="17"/>
      <c r="G37" s="17"/>
    </row>
    <row r="38" spans="2:7" x14ac:dyDescent="0.25">
      <c r="B38" s="43" t="str">
        <f>IF('Mode d''emploi'!$F$6&gt;=2075,"2071-2075","-")</f>
        <v>-</v>
      </c>
      <c r="C38" s="61" t="str">
        <f>IF('Mode d''emploi'!$F$6&gt;=2075,100*(POWER(G16/C16,1/5)-1),"-")</f>
        <v>-</v>
      </c>
      <c r="D38" s="62" t="str">
        <f>IF('Mode d''emploi'!$F$6&gt;=2075,100*(D16-E16)/C16,"-")</f>
        <v>-</v>
      </c>
      <c r="E38" s="63" t="str">
        <f>IF('Mode d''emploi'!$F$6&gt;=2075,100*F16/C16,"-")</f>
        <v>-</v>
      </c>
      <c r="F38" s="17"/>
      <c r="G38" s="17"/>
    </row>
    <row r="39" spans="2:7" x14ac:dyDescent="0.25">
      <c r="B39" s="43" t="str">
        <f>IF('Mode d''emploi'!$F$6&gt;=2080,"2076-2080","-")</f>
        <v>-</v>
      </c>
      <c r="C39" s="61" t="str">
        <f>IF('Mode d''emploi'!$F$6&gt;=2080,100*(POWER(G17/C17,1/5)-1),"-")</f>
        <v>-</v>
      </c>
      <c r="D39" s="62" t="str">
        <f>IF('Mode d''emploi'!$F$6&gt;=2080,100*(D17-E17)/C17,"-")</f>
        <v>-</v>
      </c>
      <c r="E39" s="63" t="str">
        <f>IF('Mode d''emploi'!$F$6&gt;=2080,100*F17/C17,"-")</f>
        <v>-</v>
      </c>
      <c r="F39" s="17"/>
      <c r="G39" s="17"/>
    </row>
    <row r="40" spans="2:7" x14ac:dyDescent="0.25">
      <c r="B40" s="43" t="str">
        <f>IF('Mode d''emploi'!$F$6&gt;=2085,"2081-2085","-")</f>
        <v>-</v>
      </c>
      <c r="C40" s="61" t="str">
        <f>IF('Mode d''emploi'!$F$6&gt;=2085,100*(POWER(G18/C18,1/5)-1),"-")</f>
        <v>-</v>
      </c>
      <c r="D40" s="62" t="str">
        <f>IF('Mode d''emploi'!$F$6&gt;=2085,100*(D18-E18)/C18,"-")</f>
        <v>-</v>
      </c>
      <c r="E40" s="63" t="str">
        <f>IF('Mode d''emploi'!$F$6&gt;=2085,100*F18/C18,"-")</f>
        <v>-</v>
      </c>
      <c r="F40" s="17"/>
      <c r="G40" s="17"/>
    </row>
    <row r="41" spans="2:7" x14ac:dyDescent="0.25">
      <c r="B41" s="43" t="str">
        <f>IF('Mode d''emploi'!$F$6&gt;=2090,"2086-2090","-")</f>
        <v>-</v>
      </c>
      <c r="C41" s="61" t="str">
        <f>IF('Mode d''emploi'!$F$6&gt;=2090,100*(POWER(G19/C19,1/5)-1),"-")</f>
        <v>-</v>
      </c>
      <c r="D41" s="62" t="str">
        <f>IF('Mode d''emploi'!$F$6&gt;=2090,100*(D19-E19)/C19,"-")</f>
        <v>-</v>
      </c>
      <c r="E41" s="63" t="str">
        <f>IF('Mode d''emploi'!$F$6&gt;=2090,100*F19/C19,"-")</f>
        <v>-</v>
      </c>
      <c r="F41" s="17"/>
      <c r="G41" s="17"/>
    </row>
    <row r="42" spans="2:7" x14ac:dyDescent="0.25">
      <c r="B42" s="43" t="str">
        <f>IF('Mode d''emploi'!$F$6&gt;=2095,"2091-2095","-")</f>
        <v>-</v>
      </c>
      <c r="C42" s="61" t="str">
        <f>IF('Mode d''emploi'!$F$6&gt;=2095,100*(POWER(G20/C20,1/5)-1),"-")</f>
        <v>-</v>
      </c>
      <c r="D42" s="62" t="str">
        <f>IF('Mode d''emploi'!$F$6&gt;=2095,100*(D20-E20)/C20,"-")</f>
        <v>-</v>
      </c>
      <c r="E42" s="63" t="str">
        <f>IF('Mode d''emploi'!$F$6&gt;=2095,100*F20/C20,"-")</f>
        <v>-</v>
      </c>
      <c r="F42" s="17"/>
      <c r="G42" s="17"/>
    </row>
    <row r="43" spans="2:7" ht="14.4" thickBot="1" x14ac:dyDescent="0.3">
      <c r="B43" s="44" t="str">
        <f>IF('Mode d''emploi'!$F$6&gt;=2100,"2095-2100","-")</f>
        <v>-</v>
      </c>
      <c r="C43" s="64" t="str">
        <f>IF('Mode d''emploi'!$F$6&gt;=2100,100*(POWER(G21/C21,1/5)-1),"-")</f>
        <v>-</v>
      </c>
      <c r="D43" s="65" t="str">
        <f>IF('Mode d''emploi'!$F$6&gt;=2100,100*(D21-E21)/C21,"-")</f>
        <v>-</v>
      </c>
      <c r="E43" s="66" t="str">
        <f>IF('Mode d''emploi'!$F$6&gt;=2100,100*F21/C21,"-")</f>
        <v>-</v>
      </c>
      <c r="F43" s="17"/>
      <c r="G43" s="17"/>
    </row>
    <row r="45" spans="2:7" x14ac:dyDescent="0.25">
      <c r="B45" t="s">
        <v>55</v>
      </c>
    </row>
    <row r="46" spans="2:7" ht="14.4" thickBot="1" x14ac:dyDescent="0.3"/>
    <row r="47" spans="2:7" ht="55.8" thickBot="1" x14ac:dyDescent="0.3">
      <c r="B47" s="37" t="s">
        <v>56</v>
      </c>
      <c r="C47" s="35" t="s">
        <v>63</v>
      </c>
      <c r="D47" s="34" t="s">
        <v>64</v>
      </c>
      <c r="E47" s="34" t="s">
        <v>65</v>
      </c>
      <c r="F47" s="34" t="s">
        <v>76</v>
      </c>
      <c r="G47" s="36" t="s">
        <v>77</v>
      </c>
    </row>
    <row r="48" spans="2:7" x14ac:dyDescent="0.25">
      <c r="B48" s="70">
        <v>2015</v>
      </c>
      <c r="C48" s="76">
        <f>IF($B48="-","-",LOOKUP($B48,Population!$C$81:$T$81,Population!$C$82:$T$82))</f>
        <v>14.852567380390305</v>
      </c>
      <c r="D48" s="75">
        <f>IF($B48="-","-",LOOKUP($B48,Population!$C$81:$T$81,Population!$C$83:$T$83))</f>
        <v>17.953997573712709</v>
      </c>
      <c r="E48" s="75">
        <f>IF($B48="-","-",LOOKUP($B48,Population!$C$81:$T$81,Population!$C$84:$T$84))</f>
        <v>5.0061329683254465</v>
      </c>
      <c r="F48" s="75">
        <f>IF($B48="-","-",LOOKUP($B48,Population!$C$81:$T$81,Population!$C$85:$T$85))</f>
        <v>32.492580825513699</v>
      </c>
      <c r="G48" s="77">
        <f>IF($B48="-","-",LOOKUP($B48,Population!$C$81:$T$81,Population!$C$86:$T$86))</f>
        <v>28.993142923853856</v>
      </c>
    </row>
    <row r="49" spans="2:7" x14ac:dyDescent="0.25">
      <c r="B49" s="71" t="str">
        <f>IF('Mode d''emploi'!$F$6&gt;=2020,2020,"-")</f>
        <v>-</v>
      </c>
      <c r="C49" s="78" t="str">
        <f>IF($B49="-","-",LOOKUP($B49,Population!$C$81:$T$81,Population!$C$82:$T$82))</f>
        <v>-</v>
      </c>
      <c r="D49" s="73" t="str">
        <f>IF($B49="-","-",LOOKUP($B49,Population!$C$81:$T$81,Population!$C$83:$T$83))</f>
        <v>-</v>
      </c>
      <c r="E49" s="73" t="str">
        <f>IF($B49="-","-",LOOKUP($B49,Population!$C$81:$T$81,Population!$C$84:$T$84))</f>
        <v>-</v>
      </c>
      <c r="F49" s="73" t="str">
        <f>IF($B49="-","-",LOOKUP($B49,Population!$C$81:$T$81,Population!$C$85:$T$85))</f>
        <v>-</v>
      </c>
      <c r="G49" s="79" t="str">
        <f>IF($B49="-","-",LOOKUP($B49,Population!$C$81:$T$81,Population!$C$86:$T$86))</f>
        <v>-</v>
      </c>
    </row>
    <row r="50" spans="2:7" x14ac:dyDescent="0.25">
      <c r="B50" s="71" t="str">
        <f>IF('Mode d''emploi'!$F$6&gt;=2025,2025,"-")</f>
        <v>-</v>
      </c>
      <c r="C50" s="78" t="str">
        <f>IF($B50="-","-",LOOKUP($B50,Population!$C$81:$T$81,Population!$C$82:$T$82))</f>
        <v>-</v>
      </c>
      <c r="D50" s="73" t="str">
        <f>IF($B50="-","-",LOOKUP($B50,Population!$C$81:$T$81,Population!$C$83:$T$83))</f>
        <v>-</v>
      </c>
      <c r="E50" s="73" t="str">
        <f>IF($B50="-","-",LOOKUP($B50,Population!$C$81:$T$81,Population!$C$84:$T$84))</f>
        <v>-</v>
      </c>
      <c r="F50" s="73" t="str">
        <f>IF($B50="-","-",LOOKUP($B50,Population!$C$81:$T$81,Population!$C$85:$T$85))</f>
        <v>-</v>
      </c>
      <c r="G50" s="79" t="str">
        <f>IF($B50="-","-",LOOKUP($B50,Population!$C$81:$T$81,Population!$C$86:$T$86))</f>
        <v>-</v>
      </c>
    </row>
    <row r="51" spans="2:7" x14ac:dyDescent="0.25">
      <c r="B51" s="71" t="str">
        <f>IF('Mode d''emploi'!$F$6&gt;=2030,2030,"-")</f>
        <v>-</v>
      </c>
      <c r="C51" s="78" t="str">
        <f>IF($B51="-","-",LOOKUP($B51,Population!$C$81:$T$81,Population!$C$82:$T$82))</f>
        <v>-</v>
      </c>
      <c r="D51" s="73" t="str">
        <f>IF($B51="-","-",LOOKUP($B51,Population!$C$81:$T$81,Population!$C$83:$T$83))</f>
        <v>-</v>
      </c>
      <c r="E51" s="73" t="str">
        <f>IF($B51="-","-",LOOKUP($B51,Population!$C$81:$T$81,Population!$C$84:$T$84))</f>
        <v>-</v>
      </c>
      <c r="F51" s="73" t="str">
        <f>IF($B51="-","-",LOOKUP($B51,Population!$C$81:$T$81,Population!$C$85:$T$85))</f>
        <v>-</v>
      </c>
      <c r="G51" s="79" t="str">
        <f>IF($B51="-","-",LOOKUP($B51,Population!$C$81:$T$81,Population!$C$86:$T$86))</f>
        <v>-</v>
      </c>
    </row>
    <row r="52" spans="2:7" x14ac:dyDescent="0.25">
      <c r="B52" s="71" t="str">
        <f>IF('Mode d''emploi'!$F$6&gt;=2035,2035,"-")</f>
        <v>-</v>
      </c>
      <c r="C52" s="78" t="str">
        <f>IF($B52="-","-",LOOKUP($B52,Population!$C$81:$T$81,Population!$C$82:$T$82))</f>
        <v>-</v>
      </c>
      <c r="D52" s="73" t="str">
        <f>IF($B52="-","-",LOOKUP($B52,Population!$C$81:$T$81,Population!$C$83:$T$83))</f>
        <v>-</v>
      </c>
      <c r="E52" s="73" t="str">
        <f>IF($B52="-","-",LOOKUP($B52,Population!$C$81:$T$81,Population!$C$84:$T$84))</f>
        <v>-</v>
      </c>
      <c r="F52" s="73" t="str">
        <f>IF($B52="-","-",LOOKUP($B52,Population!$C$81:$T$81,Population!$C$85:$T$85))</f>
        <v>-</v>
      </c>
      <c r="G52" s="79" t="str">
        <f>IF($B52="-","-",LOOKUP($B52,Population!$C$81:$T$81,Population!$C$86:$T$86))</f>
        <v>-</v>
      </c>
    </row>
    <row r="53" spans="2:7" x14ac:dyDescent="0.25">
      <c r="B53" s="71" t="str">
        <f>IF('Mode d''emploi'!$F$6&gt;=2040,2040,"-")</f>
        <v>-</v>
      </c>
      <c r="C53" s="78" t="str">
        <f>IF($B53="-","-",LOOKUP($B53,Population!$C$81:$T$81,Population!$C$82:$T$82))</f>
        <v>-</v>
      </c>
      <c r="D53" s="73" t="str">
        <f>IF($B53="-","-",LOOKUP($B53,Population!$C$81:$T$81,Population!$C$83:$T$83))</f>
        <v>-</v>
      </c>
      <c r="E53" s="73" t="str">
        <f>IF($B53="-","-",LOOKUP($B53,Population!$C$81:$T$81,Population!$C$84:$T$84))</f>
        <v>-</v>
      </c>
      <c r="F53" s="73" t="str">
        <f>IF($B53="-","-",LOOKUP($B53,Population!$C$81:$T$81,Population!$C$85:$T$85))</f>
        <v>-</v>
      </c>
      <c r="G53" s="79" t="str">
        <f>IF($B53="-","-",LOOKUP($B53,Population!$C$81:$T$81,Population!$C$86:$T$86))</f>
        <v>-</v>
      </c>
    </row>
    <row r="54" spans="2:7" x14ac:dyDescent="0.25">
      <c r="B54" s="71" t="str">
        <f>IF('Mode d''emploi'!$F$6&gt;=2045,2045,"-")</f>
        <v>-</v>
      </c>
      <c r="C54" s="78" t="str">
        <f>IF($B54="-","-",LOOKUP($B54,Population!$C$81:$T$81,Population!$C$82:$T$82))</f>
        <v>-</v>
      </c>
      <c r="D54" s="73" t="str">
        <f>IF($B54="-","-",LOOKUP($B54,Population!$C$81:$T$81,Population!$C$83:$T$83))</f>
        <v>-</v>
      </c>
      <c r="E54" s="73" t="str">
        <f>IF($B54="-","-",LOOKUP($B54,Population!$C$81:$T$81,Population!$C$84:$T$84))</f>
        <v>-</v>
      </c>
      <c r="F54" s="73" t="str">
        <f>IF($B54="-","-",LOOKUP($B54,Population!$C$81:$T$81,Population!$C$85:$T$85))</f>
        <v>-</v>
      </c>
      <c r="G54" s="79" t="str">
        <f>IF($B54="-","-",LOOKUP($B54,Population!$C$81:$T$81,Population!$C$86:$T$86))</f>
        <v>-</v>
      </c>
    </row>
    <row r="55" spans="2:7" x14ac:dyDescent="0.25">
      <c r="B55" s="71" t="str">
        <f>IF('Mode d''emploi'!$F$6&gt;=2050,2050,"-")</f>
        <v>-</v>
      </c>
      <c r="C55" s="78" t="str">
        <f>IF($B55="-","-",LOOKUP($B55,Population!$C$81:$T$81,Population!$C$82:$T$82))</f>
        <v>-</v>
      </c>
      <c r="D55" s="73" t="str">
        <f>IF($B55="-","-",LOOKUP($B55,Population!$C$81:$T$81,Population!$C$83:$T$83))</f>
        <v>-</v>
      </c>
      <c r="E55" s="73" t="str">
        <f>IF($B55="-","-",LOOKUP($B55,Population!$C$81:$T$81,Population!$C$84:$T$84))</f>
        <v>-</v>
      </c>
      <c r="F55" s="73" t="str">
        <f>IF($B55="-","-",LOOKUP($B55,Population!$C$81:$T$81,Population!$C$85:$T$85))</f>
        <v>-</v>
      </c>
      <c r="G55" s="79" t="str">
        <f>IF($B55="-","-",LOOKUP($B55,Population!$C$81:$T$81,Population!$C$86:$T$86))</f>
        <v>-</v>
      </c>
    </row>
    <row r="56" spans="2:7" x14ac:dyDescent="0.25">
      <c r="B56" s="71" t="str">
        <f>IF('Mode d''emploi'!$F$6&gt;=2055,2055,"-")</f>
        <v>-</v>
      </c>
      <c r="C56" s="78" t="str">
        <f>IF($B56="-","-",LOOKUP($B56,Population!$C$81:$T$81,Population!$C$82:$T$82))</f>
        <v>-</v>
      </c>
      <c r="D56" s="73" t="str">
        <f>IF($B56="-","-",LOOKUP($B56,Population!$C$81:$T$81,Population!$C$83:$T$83))</f>
        <v>-</v>
      </c>
      <c r="E56" s="73" t="str">
        <f>IF($B56="-","-",LOOKUP($B56,Population!$C$81:$T$81,Population!$C$84:$T$84))</f>
        <v>-</v>
      </c>
      <c r="F56" s="73" t="str">
        <f>IF($B56="-","-",LOOKUP($B56,Population!$C$81:$T$81,Population!$C$85:$T$85))</f>
        <v>-</v>
      </c>
      <c r="G56" s="79" t="str">
        <f>IF($B56="-","-",LOOKUP($B56,Population!$C$81:$T$81,Population!$C$86:$T$86))</f>
        <v>-</v>
      </c>
    </row>
    <row r="57" spans="2:7" x14ac:dyDescent="0.25">
      <c r="B57" s="71" t="str">
        <f>IF('Mode d''emploi'!$F$6&gt;=2060,2060,"-")</f>
        <v>-</v>
      </c>
      <c r="C57" s="78" t="str">
        <f>IF($B57="-","-",LOOKUP($B57,Population!$C$81:$T$81,Population!$C$82:$T$82))</f>
        <v>-</v>
      </c>
      <c r="D57" s="73" t="str">
        <f>IF($B57="-","-",LOOKUP($B57,Population!$C$81:$T$81,Population!$C$83:$T$83))</f>
        <v>-</v>
      </c>
      <c r="E57" s="73" t="str">
        <f>IF($B57="-","-",LOOKUP($B57,Population!$C$81:$T$81,Population!$C$84:$T$84))</f>
        <v>-</v>
      </c>
      <c r="F57" s="73" t="str">
        <f>IF($B57="-","-",LOOKUP($B57,Population!$C$81:$T$81,Population!$C$85:$T$85))</f>
        <v>-</v>
      </c>
      <c r="G57" s="79" t="str">
        <f>IF($B57="-","-",LOOKUP($B57,Population!$C$81:$T$81,Population!$C$86:$T$86))</f>
        <v>-</v>
      </c>
    </row>
    <row r="58" spans="2:7" x14ac:dyDescent="0.25">
      <c r="B58" s="71" t="str">
        <f>IF('Mode d''emploi'!$F$6&gt;=2065,2065,"-")</f>
        <v>-</v>
      </c>
      <c r="C58" s="78" t="str">
        <f>IF($B58="-","-",LOOKUP($B58,Population!$C$81:$T$81,Population!$C$82:$T$82))</f>
        <v>-</v>
      </c>
      <c r="D58" s="73" t="str">
        <f>IF($B58="-","-",LOOKUP($B58,Population!$C$81:$T$81,Population!$C$83:$T$83))</f>
        <v>-</v>
      </c>
      <c r="E58" s="73" t="str">
        <f>IF($B58="-","-",LOOKUP($B58,Population!$C$81:$T$81,Population!$C$84:$T$84))</f>
        <v>-</v>
      </c>
      <c r="F58" s="73" t="str">
        <f>IF($B58="-","-",LOOKUP($B58,Population!$C$81:$T$81,Population!$C$85:$T$85))</f>
        <v>-</v>
      </c>
      <c r="G58" s="79" t="str">
        <f>IF($B58="-","-",LOOKUP($B58,Population!$C$81:$T$81,Population!$C$86:$T$86))</f>
        <v>-</v>
      </c>
    </row>
    <row r="59" spans="2:7" x14ac:dyDescent="0.25">
      <c r="B59" s="71" t="str">
        <f>IF('Mode d''emploi'!$F$6&gt;=2070,2070,"-")</f>
        <v>-</v>
      </c>
      <c r="C59" s="78" t="str">
        <f>IF($B59="-","-",LOOKUP($B59,Population!$C$81:$T$81,Population!$C$82:$T$82))</f>
        <v>-</v>
      </c>
      <c r="D59" s="73" t="str">
        <f>IF($B59="-","-",LOOKUP($B59,Population!$C$81:$T$81,Population!$C$83:$T$83))</f>
        <v>-</v>
      </c>
      <c r="E59" s="73" t="str">
        <f>IF($B59="-","-",LOOKUP($B59,Population!$C$81:$T$81,Population!$C$84:$T$84))</f>
        <v>-</v>
      </c>
      <c r="F59" s="73" t="str">
        <f>IF($B59="-","-",LOOKUP($B59,Population!$C$81:$T$81,Population!$C$85:$T$85))</f>
        <v>-</v>
      </c>
      <c r="G59" s="79" t="str">
        <f>IF($B59="-","-",LOOKUP($B59,Population!$C$81:$T$81,Population!$C$86:$T$86))</f>
        <v>-</v>
      </c>
    </row>
    <row r="60" spans="2:7" x14ac:dyDescent="0.25">
      <c r="B60" s="71" t="str">
        <f>IF('Mode d''emploi'!$F$6&gt;=2075,2075,"-")</f>
        <v>-</v>
      </c>
      <c r="C60" s="78" t="str">
        <f>IF($B60="-","-",LOOKUP($B60,Population!$C$81:$T$81,Population!$C$82:$T$82))</f>
        <v>-</v>
      </c>
      <c r="D60" s="73" t="str">
        <f>IF($B60="-","-",LOOKUP($B60,Population!$C$81:$T$81,Population!$C$83:$T$83))</f>
        <v>-</v>
      </c>
      <c r="E60" s="73" t="str">
        <f>IF($B60="-","-",LOOKUP($B60,Population!$C$81:$T$81,Population!$C$84:$T$84))</f>
        <v>-</v>
      </c>
      <c r="F60" s="73" t="str">
        <f>IF($B60="-","-",LOOKUP($B60,Population!$C$81:$T$81,Population!$C$85:$T$85))</f>
        <v>-</v>
      </c>
      <c r="G60" s="79" t="str">
        <f>IF($B60="-","-",LOOKUP($B60,Population!$C$81:$T$81,Population!$C$86:$T$86))</f>
        <v>-</v>
      </c>
    </row>
    <row r="61" spans="2:7" x14ac:dyDescent="0.25">
      <c r="B61" s="71" t="str">
        <f>IF('Mode d''emploi'!$F$6&gt;=2080,2080,"-")</f>
        <v>-</v>
      </c>
      <c r="C61" s="78" t="str">
        <f>IF($B61="-","-",LOOKUP($B61,Population!$C$81:$T$81,Population!$C$82:$T$82))</f>
        <v>-</v>
      </c>
      <c r="D61" s="73" t="str">
        <f>IF($B61="-","-",LOOKUP($B61,Population!$C$81:$T$81,Population!$C$83:$T$83))</f>
        <v>-</v>
      </c>
      <c r="E61" s="73" t="str">
        <f>IF($B61="-","-",LOOKUP($B61,Population!$C$81:$T$81,Population!$C$84:$T$84))</f>
        <v>-</v>
      </c>
      <c r="F61" s="73" t="str">
        <f>IF($B61="-","-",LOOKUP($B61,Population!$C$81:$T$81,Population!$C$85:$T$85))</f>
        <v>-</v>
      </c>
      <c r="G61" s="79" t="str">
        <f>IF($B61="-","-",LOOKUP($B61,Population!$C$81:$T$81,Population!$C$86:$T$86))</f>
        <v>-</v>
      </c>
    </row>
    <row r="62" spans="2:7" x14ac:dyDescent="0.25">
      <c r="B62" s="71" t="str">
        <f>IF('Mode d''emploi'!$F$6&gt;=2085,2085,"-")</f>
        <v>-</v>
      </c>
      <c r="C62" s="78" t="str">
        <f>IF($B62="-","-",LOOKUP($B62,Population!$C$81:$T$81,Population!$C$82:$T$82))</f>
        <v>-</v>
      </c>
      <c r="D62" s="73" t="str">
        <f>IF($B62="-","-",LOOKUP($B62,Population!$C$81:$T$81,Population!$C$83:$T$83))</f>
        <v>-</v>
      </c>
      <c r="E62" s="73" t="str">
        <f>IF($B62="-","-",LOOKUP($B62,Population!$C$81:$T$81,Population!$C$84:$T$84))</f>
        <v>-</v>
      </c>
      <c r="F62" s="73" t="str">
        <f>IF($B62="-","-",LOOKUP($B62,Population!$C$81:$T$81,Population!$C$85:$T$85))</f>
        <v>-</v>
      </c>
      <c r="G62" s="79" t="str">
        <f>IF($B62="-","-",LOOKUP($B62,Population!$C$81:$T$81,Population!$C$86:$T$86))</f>
        <v>-</v>
      </c>
    </row>
    <row r="63" spans="2:7" x14ac:dyDescent="0.25">
      <c r="B63" s="71" t="str">
        <f>IF('Mode d''emploi'!$F$6&gt;=2090,2090,"-")</f>
        <v>-</v>
      </c>
      <c r="C63" s="78" t="str">
        <f>IF($B63="-","-",LOOKUP($B63,Population!$C$81:$T$81,Population!$C$82:$T$82))</f>
        <v>-</v>
      </c>
      <c r="D63" s="73" t="str">
        <f>IF($B63="-","-",LOOKUP($B63,Population!$C$81:$T$81,Population!$C$83:$T$83))</f>
        <v>-</v>
      </c>
      <c r="E63" s="73" t="str">
        <f>IF($B63="-","-",LOOKUP($B63,Population!$C$81:$T$81,Population!$C$84:$T$84))</f>
        <v>-</v>
      </c>
      <c r="F63" s="73" t="str">
        <f>IF($B63="-","-",LOOKUP($B63,Population!$C$81:$T$81,Population!$C$85:$T$85))</f>
        <v>-</v>
      </c>
      <c r="G63" s="79" t="str">
        <f>IF($B63="-","-",LOOKUP($B63,Population!$C$81:$T$81,Population!$C$86:$T$86))</f>
        <v>-</v>
      </c>
    </row>
    <row r="64" spans="2:7" x14ac:dyDescent="0.25">
      <c r="B64" s="71" t="str">
        <f>IF('Mode d''emploi'!$F$6&gt;=2095,2095,"-")</f>
        <v>-</v>
      </c>
      <c r="C64" s="78" t="str">
        <f>IF($B64="-","-",LOOKUP($B64,Population!$C$81:$T$81,Population!$C$82:$T$82))</f>
        <v>-</v>
      </c>
      <c r="D64" s="73" t="str">
        <f>IF($B64="-","-",LOOKUP($B64,Population!$C$81:$T$81,Population!$C$83:$T$83))</f>
        <v>-</v>
      </c>
      <c r="E64" s="73" t="str">
        <f>IF($B64="-","-",LOOKUP($B64,Population!$C$81:$T$81,Population!$C$84:$T$84))</f>
        <v>-</v>
      </c>
      <c r="F64" s="73" t="str">
        <f>IF($B64="-","-",LOOKUP($B64,Population!$C$81:$T$81,Population!$C$85:$T$85))</f>
        <v>-</v>
      </c>
      <c r="G64" s="79" t="str">
        <f>IF($B64="-","-",LOOKUP($B64,Population!$C$81:$T$81,Population!$C$86:$T$86))</f>
        <v>-</v>
      </c>
    </row>
    <row r="65" spans="2:7" ht="14.4" thickBot="1" x14ac:dyDescent="0.3">
      <c r="B65" s="72" t="str">
        <f>IF('Mode d''emploi'!$F$6&gt;=2100,2100,"-")</f>
        <v>-</v>
      </c>
      <c r="C65" s="80" t="str">
        <f>IF($B65="-","-",LOOKUP($B65,Population!$C$81:$T$81,Population!$C$82:$T$82))</f>
        <v>-</v>
      </c>
      <c r="D65" s="74" t="str">
        <f>IF($B65="-","-",LOOKUP($B65,Population!$C$81:$T$81,Population!$C$83:$T$83))</f>
        <v>-</v>
      </c>
      <c r="E65" s="74" t="str">
        <f>IF($B65="-","-",LOOKUP($B65,Population!$C$81:$T$81,Population!$C$84:$T$84))</f>
        <v>-</v>
      </c>
      <c r="F65" s="74" t="str">
        <f>IF($B65="-","-",LOOKUP($B65,Population!$C$81:$T$81,Population!$C$85:$T$85))</f>
        <v>-</v>
      </c>
      <c r="G65" s="81" t="str">
        <f>IF($B65="-","-",LOOKUP($B65,Population!$C$81:$T$81,Population!$C$86:$T$86))</f>
        <v>-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</sheetPr>
  <dimension ref="B1:T86"/>
  <sheetViews>
    <sheetView workbookViewId="0"/>
  </sheetViews>
  <sheetFormatPr baseColWidth="10" defaultColWidth="11" defaultRowHeight="13.8" x14ac:dyDescent="0.25"/>
  <sheetData>
    <row r="1" spans="2:20" ht="14.4" thickBot="1" x14ac:dyDescent="0.3"/>
    <row r="2" spans="2:20" ht="14.4" thickBot="1" x14ac:dyDescent="0.3">
      <c r="B2" t="s">
        <v>21</v>
      </c>
      <c r="C2" s="9">
        <v>2015</v>
      </c>
      <c r="D2" s="2">
        <v>2020</v>
      </c>
      <c r="E2" s="2">
        <v>2025</v>
      </c>
      <c r="F2" s="2">
        <v>2030</v>
      </c>
      <c r="G2" s="2">
        <v>2035</v>
      </c>
      <c r="H2" s="2">
        <v>2040</v>
      </c>
      <c r="I2" s="2">
        <v>2045</v>
      </c>
      <c r="J2" s="2">
        <v>2050</v>
      </c>
      <c r="K2" s="2">
        <v>2055</v>
      </c>
      <c r="L2" s="2">
        <v>2060</v>
      </c>
      <c r="M2" s="2">
        <v>2065</v>
      </c>
      <c r="N2" s="2">
        <v>2070</v>
      </c>
      <c r="O2" s="2">
        <v>2075</v>
      </c>
      <c r="P2" s="2">
        <v>2080</v>
      </c>
      <c r="Q2" s="2">
        <v>2085</v>
      </c>
      <c r="R2" s="2">
        <v>2090</v>
      </c>
      <c r="S2" s="2">
        <v>2095</v>
      </c>
      <c r="T2" s="3">
        <v>2100</v>
      </c>
    </row>
    <row r="3" spans="2:20" x14ac:dyDescent="0.25">
      <c r="B3" s="11" t="s">
        <v>7</v>
      </c>
      <c r="C3" s="16">
        <v>217657</v>
      </c>
      <c r="D3" s="14" t="str">
        <f>IF('Mode d''emploi'!$F$6&gt;=Population!D$2,ROUND((105/205)*(Fécondité!C22*(1-Mortalité!C3)+Migration!C3*(1-((2/3)*Mortalité!C3))),0),"-")</f>
        <v>-</v>
      </c>
      <c r="E3" s="14" t="str">
        <f>IF('Mode d''emploi'!$F$6&gt;=Population!E$2,ROUND((105/205)*(Fécondité!D22*(1-Mortalité!D3)+Migration!D3*(1-((2/3)*Mortalité!D3))),0),"-")</f>
        <v>-</v>
      </c>
      <c r="F3" s="14" t="str">
        <f>IF('Mode d''emploi'!$F$6&gt;=Population!F$2,ROUND((105/205)*(Fécondité!E22*(1-Mortalité!E3)+Migration!E3*(1-((2/3)*Mortalité!E3))),0),"-")</f>
        <v>-</v>
      </c>
      <c r="G3" s="14" t="str">
        <f>IF('Mode d''emploi'!$F$6&gt;=Population!G$2,ROUND((105/205)*(Fécondité!F22*(1-Mortalité!F3)+Migration!F3*(1-((2/3)*Mortalité!F3))),0),"-")</f>
        <v>-</v>
      </c>
      <c r="H3" s="14" t="str">
        <f>IF('Mode d''emploi'!$F$6&gt;=Population!H$2,ROUND((105/205)*(Fécondité!G22*(1-Mortalité!G3)+Migration!G3*(1-((2/3)*Mortalité!G3))),0),"-")</f>
        <v>-</v>
      </c>
      <c r="I3" s="14" t="str">
        <f>IF('Mode d''emploi'!$F$6&gt;=Population!I$2,ROUND((105/205)*(Fécondité!H22*(1-Mortalité!H3)+Migration!H3*(1-((2/3)*Mortalité!H3))),0),"-")</f>
        <v>-</v>
      </c>
      <c r="J3" s="14" t="str">
        <f>IF('Mode d''emploi'!$F$6&gt;=Population!J$2,ROUND((105/205)*(Fécondité!I22*(1-Mortalité!I3)+Migration!I3*(1-((2/3)*Mortalité!I3))),0),"-")</f>
        <v>-</v>
      </c>
      <c r="K3" s="14" t="str">
        <f>IF('Mode d''emploi'!$F$6&gt;=Population!K$2,ROUND((105/205)*(Fécondité!J22*(1-Mortalité!J3)+Migration!J3*(1-((2/3)*Mortalité!J3))),0),"-")</f>
        <v>-</v>
      </c>
      <c r="L3" s="14" t="str">
        <f>IF('Mode d''emploi'!$F$6&gt;=Population!L$2,ROUND((105/205)*(Fécondité!K22*(1-Mortalité!K3)+Migration!K3*(1-((2/3)*Mortalité!K3))),0),"-")</f>
        <v>-</v>
      </c>
      <c r="M3" s="14" t="str">
        <f>IF('Mode d''emploi'!$F$6&gt;=Population!M$2,ROUND((105/205)*(Fécondité!L22*(1-Mortalité!L3)+Migration!L3*(1-((2/3)*Mortalité!L3))),0),"-")</f>
        <v>-</v>
      </c>
      <c r="N3" s="14" t="str">
        <f>IF('Mode d''emploi'!$F$6&gt;=Population!N$2,ROUND((105/205)*(Fécondité!M22*(1-Mortalité!M3)+Migration!M3*(1-((2/3)*Mortalité!M3))),0),"-")</f>
        <v>-</v>
      </c>
      <c r="O3" s="14" t="str">
        <f>IF('Mode d''emploi'!$F$6&gt;=Population!O$2,ROUND((105/205)*(Fécondité!N22*(1-Mortalité!N3)+Migration!N3*(1-((2/3)*Mortalité!N3))),0),"-")</f>
        <v>-</v>
      </c>
      <c r="P3" s="14" t="str">
        <f>IF('Mode d''emploi'!$F$6&gt;=Population!P$2,ROUND((105/205)*(Fécondité!O22*(1-Mortalité!O3)+Migration!O3*(1-((2/3)*Mortalité!O3))),0),"-")</f>
        <v>-</v>
      </c>
      <c r="Q3" s="14" t="str">
        <f>IF('Mode d''emploi'!$F$6&gt;=Population!Q$2,ROUND((105/205)*(Fécondité!P22*(1-Mortalité!P3)+Migration!P3*(1-((2/3)*Mortalité!P3))),0),"-")</f>
        <v>-</v>
      </c>
      <c r="R3" s="14" t="str">
        <f>IF('Mode d''emploi'!$F$6&gt;=Population!R$2,ROUND((105/205)*(Fécondité!Q22*(1-Mortalité!Q3)+Migration!Q3*(1-((2/3)*Mortalité!Q3))),0),"-")</f>
        <v>-</v>
      </c>
      <c r="S3" s="14" t="str">
        <f>IF('Mode d''emploi'!$F$6&gt;=Population!S$2,ROUND((105/205)*(Fécondité!R22*(1-Mortalité!R3)+Migration!R3*(1-((2/3)*Mortalité!R3))),0),"-")</f>
        <v>-</v>
      </c>
      <c r="T3" s="14" t="str">
        <f>IF('Mode d''emploi'!$F$6&gt;=Population!T$2,ROUND((105/205)*(Fécondité!S22*(1-Mortalité!S3)+Migration!S3*(1-((2/3)*Mortalité!S3))),0),"-")</f>
        <v>-</v>
      </c>
    </row>
    <row r="4" spans="2:20" x14ac:dyDescent="0.25">
      <c r="B4" s="12" t="s">
        <v>8</v>
      </c>
      <c r="C4" s="16">
        <v>212219</v>
      </c>
      <c r="D4" s="14" t="str">
        <f>IF('Mode d''emploi'!$F$6&gt;=Population!D$2,ROUND(C3*(1-Mortalité!C4)+Migration!C4*(1-(Mortalité!C4/2)),0),"-")</f>
        <v>-</v>
      </c>
      <c r="E4" s="14" t="str">
        <f>IF('Mode d''emploi'!$F$6&gt;=Population!E$2,ROUND(D3*(1-Mortalité!D4)+Migration!D4*(1-(Mortalité!D4/2)),0),"-")</f>
        <v>-</v>
      </c>
      <c r="F4" s="14" t="str">
        <f>IF('Mode d''emploi'!$F$6&gt;=Population!F$2,ROUND(E3*(1-Mortalité!E4)+Migration!E4*(1-(Mortalité!E4/2)),0),"-")</f>
        <v>-</v>
      </c>
      <c r="G4" s="14" t="str">
        <f>IF('Mode d''emploi'!$F$6&gt;=Population!G$2,ROUND(F3*(1-Mortalité!F4)+Migration!F4*(1-(Mortalité!F4/2)),0),"-")</f>
        <v>-</v>
      </c>
      <c r="H4" s="14" t="str">
        <f>IF('Mode d''emploi'!$F$6&gt;=Population!H$2,ROUND(G3*(1-Mortalité!G4)+Migration!G4*(1-(Mortalité!G4/2)),0),"-")</f>
        <v>-</v>
      </c>
      <c r="I4" s="14" t="str">
        <f>IF('Mode d''emploi'!$F$6&gt;=Population!I$2,ROUND(H3*(1-Mortalité!H4)+Migration!H4*(1-(Mortalité!H4/2)),0),"-")</f>
        <v>-</v>
      </c>
      <c r="J4" s="14" t="str">
        <f>IF('Mode d''emploi'!$F$6&gt;=Population!J$2,ROUND(I3*(1-Mortalité!I4)+Migration!I4*(1-(Mortalité!I4/2)),0),"-")</f>
        <v>-</v>
      </c>
      <c r="K4" s="14" t="str">
        <f>IF('Mode d''emploi'!$F$6&gt;=Population!K$2,ROUND(J3*(1-Mortalité!J4)+Migration!J4*(1-(Mortalité!J4/2)),0),"-")</f>
        <v>-</v>
      </c>
      <c r="L4" s="14" t="str">
        <f>IF('Mode d''emploi'!$F$6&gt;=Population!L$2,ROUND(K3*(1-Mortalité!K4)+Migration!K4*(1-(Mortalité!K4/2)),0),"-")</f>
        <v>-</v>
      </c>
      <c r="M4" s="14" t="str">
        <f>IF('Mode d''emploi'!$F$6&gt;=Population!M$2,ROUND(L3*(1-Mortalité!L4)+Migration!L4*(1-(Mortalité!L4/2)),0),"-")</f>
        <v>-</v>
      </c>
      <c r="N4" s="14" t="str">
        <f>IF('Mode d''emploi'!$F$6&gt;=Population!N$2,ROUND(M3*(1-Mortalité!M4)+Migration!M4*(1-(Mortalité!M4/2)),0),"-")</f>
        <v>-</v>
      </c>
      <c r="O4" s="14" t="str">
        <f>IF('Mode d''emploi'!$F$6&gt;=Population!O$2,ROUND(N3*(1-Mortalité!N4)+Migration!N4*(1-(Mortalité!N4/2)),0),"-")</f>
        <v>-</v>
      </c>
      <c r="P4" s="14" t="str">
        <f>IF('Mode d''emploi'!$F$6&gt;=Population!P$2,ROUND(O3*(1-Mortalité!O4)+Migration!O4*(1-(Mortalité!O4/2)),0),"-")</f>
        <v>-</v>
      </c>
      <c r="Q4" s="14" t="str">
        <f>IF('Mode d''emploi'!$F$6&gt;=Population!Q$2,ROUND(P3*(1-Mortalité!P4)+Migration!P4*(1-(Mortalité!P4/2)),0),"-")</f>
        <v>-</v>
      </c>
      <c r="R4" s="14" t="str">
        <f>IF('Mode d''emploi'!$F$6&gt;=Population!R$2,ROUND(Q3*(1-Mortalité!Q4)+Migration!Q4*(1-(Mortalité!Q4/2)),0),"-")</f>
        <v>-</v>
      </c>
      <c r="S4" s="14" t="str">
        <f>IF('Mode d''emploi'!$F$6&gt;=Population!S$2,ROUND(R3*(1-Mortalité!R4)+Migration!R4*(1-(Mortalité!R4/2)),0),"-")</f>
        <v>-</v>
      </c>
      <c r="T4" s="14" t="str">
        <f>IF('Mode d''emploi'!$F$6&gt;=Population!T$2,ROUND(S3*(1-Mortalité!S4)+Migration!S4*(1-(Mortalité!S4/2)),0),"-")</f>
        <v>-</v>
      </c>
    </row>
    <row r="5" spans="2:20" x14ac:dyDescent="0.25">
      <c r="B5" s="13" t="s">
        <v>9</v>
      </c>
      <c r="C5" s="16">
        <v>205372</v>
      </c>
      <c r="D5" s="14" t="str">
        <f>IF('Mode d''emploi'!$F$6&gt;=Population!D$2,ROUND(C4*(1-Mortalité!C5)+Migration!C5*(1-(Mortalité!C5/2)),0),"-")</f>
        <v>-</v>
      </c>
      <c r="E5" s="14" t="str">
        <f>IF('Mode d''emploi'!$F$6&gt;=Population!E$2,ROUND(D4*(1-Mortalité!D5)+Migration!D5*(1-(Mortalité!D5/2)),0),"-")</f>
        <v>-</v>
      </c>
      <c r="F5" s="14" t="str">
        <f>IF('Mode d''emploi'!$F$6&gt;=Population!F$2,ROUND(E4*(1-Mortalité!E5)+Migration!E5*(1-(Mortalité!E5/2)),0),"-")</f>
        <v>-</v>
      </c>
      <c r="G5" s="14" t="str">
        <f>IF('Mode d''emploi'!$F$6&gt;=Population!G$2,ROUND(F4*(1-Mortalité!F5)+Migration!F5*(1-(Mortalité!F5/2)),0),"-")</f>
        <v>-</v>
      </c>
      <c r="H5" s="14" t="str">
        <f>IF('Mode d''emploi'!$F$6&gt;=Population!H$2,ROUND(G4*(1-Mortalité!G5)+Migration!G5*(1-(Mortalité!G5/2)),0),"-")</f>
        <v>-</v>
      </c>
      <c r="I5" s="14" t="str">
        <f>IF('Mode d''emploi'!$F$6&gt;=Population!I$2,ROUND(H4*(1-Mortalité!H5)+Migration!H5*(1-(Mortalité!H5/2)),0),"-")</f>
        <v>-</v>
      </c>
      <c r="J5" s="14" t="str">
        <f>IF('Mode d''emploi'!$F$6&gt;=Population!J$2,ROUND(I4*(1-Mortalité!I5)+Migration!I5*(1-(Mortalité!I5/2)),0),"-")</f>
        <v>-</v>
      </c>
      <c r="K5" s="14" t="str">
        <f>IF('Mode d''emploi'!$F$6&gt;=Population!K$2,ROUND(J4*(1-Mortalité!J5)+Migration!J5*(1-(Mortalité!J5/2)),0),"-")</f>
        <v>-</v>
      </c>
      <c r="L5" s="14" t="str">
        <f>IF('Mode d''emploi'!$F$6&gt;=Population!L$2,ROUND(K4*(1-Mortalité!K5)+Migration!K5*(1-(Mortalité!K5/2)),0),"-")</f>
        <v>-</v>
      </c>
      <c r="M5" s="14" t="str">
        <f>IF('Mode d''emploi'!$F$6&gt;=Population!M$2,ROUND(L4*(1-Mortalité!L5)+Migration!L5*(1-(Mortalité!L5/2)),0),"-")</f>
        <v>-</v>
      </c>
      <c r="N5" s="14" t="str">
        <f>IF('Mode d''emploi'!$F$6&gt;=Population!N$2,ROUND(M4*(1-Mortalité!M5)+Migration!M5*(1-(Mortalité!M5/2)),0),"-")</f>
        <v>-</v>
      </c>
      <c r="O5" s="14" t="str">
        <f>IF('Mode d''emploi'!$F$6&gt;=Population!O$2,ROUND(N4*(1-Mortalité!N5)+Migration!N5*(1-(Mortalité!N5/2)),0),"-")</f>
        <v>-</v>
      </c>
      <c r="P5" s="14" t="str">
        <f>IF('Mode d''emploi'!$F$6&gt;=Population!P$2,ROUND(O4*(1-Mortalité!O5)+Migration!O5*(1-(Mortalité!O5/2)),0),"-")</f>
        <v>-</v>
      </c>
      <c r="Q5" s="14" t="str">
        <f>IF('Mode d''emploi'!$F$6&gt;=Population!Q$2,ROUND(P4*(1-Mortalité!P5)+Migration!P5*(1-(Mortalité!P5/2)),0),"-")</f>
        <v>-</v>
      </c>
      <c r="R5" s="14" t="str">
        <f>IF('Mode d''emploi'!$F$6&gt;=Population!R$2,ROUND(Q4*(1-Mortalité!Q5)+Migration!Q5*(1-(Mortalité!Q5/2)),0),"-")</f>
        <v>-</v>
      </c>
      <c r="S5" s="14" t="str">
        <f>IF('Mode d''emploi'!$F$6&gt;=Population!S$2,ROUND(R4*(1-Mortalité!R5)+Migration!R5*(1-(Mortalité!R5/2)),0),"-")</f>
        <v>-</v>
      </c>
      <c r="T5" s="14" t="str">
        <f>IF('Mode d''emploi'!$F$6&gt;=Population!T$2,ROUND(S4*(1-Mortalité!S5)+Migration!S5*(1-(Mortalité!S5/2)),0),"-")</f>
        <v>-</v>
      </c>
    </row>
    <row r="6" spans="2:20" x14ac:dyDescent="0.25">
      <c r="B6" s="5" t="s">
        <v>0</v>
      </c>
      <c r="C6" s="16">
        <v>225456</v>
      </c>
      <c r="D6" s="14" t="str">
        <f>IF('Mode d''emploi'!$F$6&gt;=Population!D$2,ROUND(C5*(1-Mortalité!C6)+Migration!C6*(1-(Mortalité!C6/2)),0),"-")</f>
        <v>-</v>
      </c>
      <c r="E6" s="14" t="str">
        <f>IF('Mode d''emploi'!$F$6&gt;=Population!E$2,ROUND(D5*(1-Mortalité!D6)+Migration!D6*(1-(Mortalité!D6/2)),0),"-")</f>
        <v>-</v>
      </c>
      <c r="F6" s="14" t="str">
        <f>IF('Mode d''emploi'!$F$6&gt;=Population!F$2,ROUND(E5*(1-Mortalité!E6)+Migration!E6*(1-(Mortalité!E6/2)),0),"-")</f>
        <v>-</v>
      </c>
      <c r="G6" s="14" t="str">
        <f>IF('Mode d''emploi'!$F$6&gt;=Population!G$2,ROUND(F5*(1-Mortalité!F6)+Migration!F6*(1-(Mortalité!F6/2)),0),"-")</f>
        <v>-</v>
      </c>
      <c r="H6" s="14" t="str">
        <f>IF('Mode d''emploi'!$F$6&gt;=Population!H$2,ROUND(G5*(1-Mortalité!G6)+Migration!G6*(1-(Mortalité!G6/2)),0),"-")</f>
        <v>-</v>
      </c>
      <c r="I6" s="14" t="str">
        <f>IF('Mode d''emploi'!$F$6&gt;=Population!I$2,ROUND(H5*(1-Mortalité!H6)+Migration!H6*(1-(Mortalité!H6/2)),0),"-")</f>
        <v>-</v>
      </c>
      <c r="J6" s="14" t="str">
        <f>IF('Mode d''emploi'!$F$6&gt;=Population!J$2,ROUND(I5*(1-Mortalité!I6)+Migration!I6*(1-(Mortalité!I6/2)),0),"-")</f>
        <v>-</v>
      </c>
      <c r="K6" s="14" t="str">
        <f>IF('Mode d''emploi'!$F$6&gt;=Population!K$2,ROUND(J5*(1-Mortalité!J6)+Migration!J6*(1-(Mortalité!J6/2)),0),"-")</f>
        <v>-</v>
      </c>
      <c r="L6" s="14" t="str">
        <f>IF('Mode d''emploi'!$F$6&gt;=Population!L$2,ROUND(K5*(1-Mortalité!K6)+Migration!K6*(1-(Mortalité!K6/2)),0),"-")</f>
        <v>-</v>
      </c>
      <c r="M6" s="14" t="str">
        <f>IF('Mode d''emploi'!$F$6&gt;=Population!M$2,ROUND(L5*(1-Mortalité!L6)+Migration!L6*(1-(Mortalité!L6/2)),0),"-")</f>
        <v>-</v>
      </c>
      <c r="N6" s="14" t="str">
        <f>IF('Mode d''emploi'!$F$6&gt;=Population!N$2,ROUND(M5*(1-Mortalité!M6)+Migration!M6*(1-(Mortalité!M6/2)),0),"-")</f>
        <v>-</v>
      </c>
      <c r="O6" s="14" t="str">
        <f>IF('Mode d''emploi'!$F$6&gt;=Population!O$2,ROUND(N5*(1-Mortalité!N6)+Migration!N6*(1-(Mortalité!N6/2)),0),"-")</f>
        <v>-</v>
      </c>
      <c r="P6" s="14" t="str">
        <f>IF('Mode d''emploi'!$F$6&gt;=Population!P$2,ROUND(O5*(1-Mortalité!O6)+Migration!O6*(1-(Mortalité!O6/2)),0),"-")</f>
        <v>-</v>
      </c>
      <c r="Q6" s="14" t="str">
        <f>IF('Mode d''emploi'!$F$6&gt;=Population!Q$2,ROUND(P5*(1-Mortalité!P6)+Migration!P6*(1-(Mortalité!P6/2)),0),"-")</f>
        <v>-</v>
      </c>
      <c r="R6" s="14" t="str">
        <f>IF('Mode d''emploi'!$F$6&gt;=Population!R$2,ROUND(Q5*(1-Mortalité!Q6)+Migration!Q6*(1-(Mortalité!Q6/2)),0),"-")</f>
        <v>-</v>
      </c>
      <c r="S6" s="14" t="str">
        <f>IF('Mode d''emploi'!$F$6&gt;=Population!S$2,ROUND(R5*(1-Mortalité!R6)+Migration!R6*(1-(Mortalité!R6/2)),0),"-")</f>
        <v>-</v>
      </c>
      <c r="T6" s="14" t="str">
        <f>IF('Mode d''emploi'!$F$6&gt;=Population!T$2,ROUND(S5*(1-Mortalité!S6)+Migration!S6*(1-(Mortalité!S6/2)),0),"-")</f>
        <v>-</v>
      </c>
    </row>
    <row r="7" spans="2:20" x14ac:dyDescent="0.25">
      <c r="B7" s="5" t="s">
        <v>1</v>
      </c>
      <c r="C7" s="16">
        <v>252697</v>
      </c>
      <c r="D7" s="14" t="str">
        <f>IF('Mode d''emploi'!$F$6&gt;=Population!D$2,ROUND(C6*(1-Mortalité!C7)+Migration!C7*(1-(Mortalité!C7/2)),0),"-")</f>
        <v>-</v>
      </c>
      <c r="E7" s="14" t="str">
        <f>IF('Mode d''emploi'!$F$6&gt;=Population!E$2,ROUND(D6*(1-Mortalité!D7)+Migration!D7*(1-(Mortalité!D7/2)),0),"-")</f>
        <v>-</v>
      </c>
      <c r="F7" s="14" t="str">
        <f>IF('Mode d''emploi'!$F$6&gt;=Population!F$2,ROUND(E6*(1-Mortalité!E7)+Migration!E7*(1-(Mortalité!E7/2)),0),"-")</f>
        <v>-</v>
      </c>
      <c r="G7" s="14" t="str">
        <f>IF('Mode d''emploi'!$F$6&gt;=Population!G$2,ROUND(F6*(1-Mortalité!F7)+Migration!F7*(1-(Mortalité!F7/2)),0),"-")</f>
        <v>-</v>
      </c>
      <c r="H7" s="14" t="str">
        <f>IF('Mode d''emploi'!$F$6&gt;=Population!H$2,ROUND(G6*(1-Mortalité!G7)+Migration!G7*(1-(Mortalité!G7/2)),0),"-")</f>
        <v>-</v>
      </c>
      <c r="I7" s="14" t="str">
        <f>IF('Mode d''emploi'!$F$6&gt;=Population!I$2,ROUND(H6*(1-Mortalité!H7)+Migration!H7*(1-(Mortalité!H7/2)),0),"-")</f>
        <v>-</v>
      </c>
      <c r="J7" s="14" t="str">
        <f>IF('Mode d''emploi'!$F$6&gt;=Population!J$2,ROUND(I6*(1-Mortalité!I7)+Migration!I7*(1-(Mortalité!I7/2)),0),"-")</f>
        <v>-</v>
      </c>
      <c r="K7" s="14" t="str">
        <f>IF('Mode d''emploi'!$F$6&gt;=Population!K$2,ROUND(J6*(1-Mortalité!J7)+Migration!J7*(1-(Mortalité!J7/2)),0),"-")</f>
        <v>-</v>
      </c>
      <c r="L7" s="14" t="str">
        <f>IF('Mode d''emploi'!$F$6&gt;=Population!L$2,ROUND(K6*(1-Mortalité!K7)+Migration!K7*(1-(Mortalité!K7/2)),0),"-")</f>
        <v>-</v>
      </c>
      <c r="M7" s="14" t="str">
        <f>IF('Mode d''emploi'!$F$6&gt;=Population!M$2,ROUND(L6*(1-Mortalité!L7)+Migration!L7*(1-(Mortalité!L7/2)),0),"-")</f>
        <v>-</v>
      </c>
      <c r="N7" s="14" t="str">
        <f>IF('Mode d''emploi'!$F$6&gt;=Population!N$2,ROUND(M6*(1-Mortalité!M7)+Migration!M7*(1-(Mortalité!M7/2)),0),"-")</f>
        <v>-</v>
      </c>
      <c r="O7" s="14" t="str">
        <f>IF('Mode d''emploi'!$F$6&gt;=Population!O$2,ROUND(N6*(1-Mortalité!N7)+Migration!N7*(1-(Mortalité!N7/2)),0),"-")</f>
        <v>-</v>
      </c>
      <c r="P7" s="14" t="str">
        <f>IF('Mode d''emploi'!$F$6&gt;=Population!P$2,ROUND(O6*(1-Mortalité!O7)+Migration!O7*(1-(Mortalité!O7/2)),0),"-")</f>
        <v>-</v>
      </c>
      <c r="Q7" s="14" t="str">
        <f>IF('Mode d''emploi'!$F$6&gt;=Population!Q$2,ROUND(P6*(1-Mortalité!P7)+Migration!P7*(1-(Mortalité!P7/2)),0),"-")</f>
        <v>-</v>
      </c>
      <c r="R7" s="14" t="str">
        <f>IF('Mode d''emploi'!$F$6&gt;=Population!R$2,ROUND(Q6*(1-Mortalité!Q7)+Migration!Q7*(1-(Mortalité!Q7/2)),0),"-")</f>
        <v>-</v>
      </c>
      <c r="S7" s="14" t="str">
        <f>IF('Mode d''emploi'!$F$6&gt;=Population!S$2,ROUND(R6*(1-Mortalité!R7)+Migration!R7*(1-(Mortalité!R7/2)),0),"-")</f>
        <v>-</v>
      </c>
      <c r="T7" s="14" t="str">
        <f>IF('Mode d''emploi'!$F$6&gt;=Population!T$2,ROUND(S6*(1-Mortalité!S7)+Migration!S7*(1-(Mortalité!S7/2)),0),"-")</f>
        <v>-</v>
      </c>
    </row>
    <row r="8" spans="2:20" x14ac:dyDescent="0.25">
      <c r="B8" s="5" t="s">
        <v>2</v>
      </c>
      <c r="C8" s="16">
        <v>283314</v>
      </c>
      <c r="D8" s="14" t="str">
        <f>IF('Mode d''emploi'!$F$6&gt;=Population!D$2,ROUND(C7*(1-Mortalité!C8)+Migration!C8*(1-(Mortalité!C8/2)),0),"-")</f>
        <v>-</v>
      </c>
      <c r="E8" s="14" t="str">
        <f>IF('Mode d''emploi'!$F$6&gt;=Population!E$2,ROUND(D7*(1-Mortalité!D8)+Migration!D8*(1-(Mortalité!D8/2)),0),"-")</f>
        <v>-</v>
      </c>
      <c r="F8" s="14" t="str">
        <f>IF('Mode d''emploi'!$F$6&gt;=Population!F$2,ROUND(E7*(1-Mortalité!E8)+Migration!E8*(1-(Mortalité!E8/2)),0),"-")</f>
        <v>-</v>
      </c>
      <c r="G8" s="14" t="str">
        <f>IF('Mode d''emploi'!$F$6&gt;=Population!G$2,ROUND(F7*(1-Mortalité!F8)+Migration!F8*(1-(Mortalité!F8/2)),0),"-")</f>
        <v>-</v>
      </c>
      <c r="H8" s="14" t="str">
        <f>IF('Mode d''emploi'!$F$6&gt;=Population!H$2,ROUND(G7*(1-Mortalité!G8)+Migration!G8*(1-(Mortalité!G8/2)),0),"-")</f>
        <v>-</v>
      </c>
      <c r="I8" s="14" t="str">
        <f>IF('Mode d''emploi'!$F$6&gt;=Population!I$2,ROUND(H7*(1-Mortalité!H8)+Migration!H8*(1-(Mortalité!H8/2)),0),"-")</f>
        <v>-</v>
      </c>
      <c r="J8" s="14" t="str">
        <f>IF('Mode d''emploi'!$F$6&gt;=Population!J$2,ROUND(I7*(1-Mortalité!I8)+Migration!I8*(1-(Mortalité!I8/2)),0),"-")</f>
        <v>-</v>
      </c>
      <c r="K8" s="14" t="str">
        <f>IF('Mode d''emploi'!$F$6&gt;=Population!K$2,ROUND(J7*(1-Mortalité!J8)+Migration!J8*(1-(Mortalité!J8/2)),0),"-")</f>
        <v>-</v>
      </c>
      <c r="L8" s="14" t="str">
        <f>IF('Mode d''emploi'!$F$6&gt;=Population!L$2,ROUND(K7*(1-Mortalité!K8)+Migration!K8*(1-(Mortalité!K8/2)),0),"-")</f>
        <v>-</v>
      </c>
      <c r="M8" s="14" t="str">
        <f>IF('Mode d''emploi'!$F$6&gt;=Population!M$2,ROUND(L7*(1-Mortalité!L8)+Migration!L8*(1-(Mortalité!L8/2)),0),"-")</f>
        <v>-</v>
      </c>
      <c r="N8" s="14" t="str">
        <f>IF('Mode d''emploi'!$F$6&gt;=Population!N$2,ROUND(M7*(1-Mortalité!M8)+Migration!M8*(1-(Mortalité!M8/2)),0),"-")</f>
        <v>-</v>
      </c>
      <c r="O8" s="14" t="str">
        <f>IF('Mode d''emploi'!$F$6&gt;=Population!O$2,ROUND(N7*(1-Mortalité!N8)+Migration!N8*(1-(Mortalité!N8/2)),0),"-")</f>
        <v>-</v>
      </c>
      <c r="P8" s="14" t="str">
        <f>IF('Mode d''emploi'!$F$6&gt;=Population!P$2,ROUND(O7*(1-Mortalité!O8)+Migration!O8*(1-(Mortalité!O8/2)),0),"-")</f>
        <v>-</v>
      </c>
      <c r="Q8" s="14" t="str">
        <f>IF('Mode d''emploi'!$F$6&gt;=Population!Q$2,ROUND(P7*(1-Mortalité!P8)+Migration!P8*(1-(Mortalité!P8/2)),0),"-")</f>
        <v>-</v>
      </c>
      <c r="R8" s="14" t="str">
        <f>IF('Mode d''emploi'!$F$6&gt;=Population!R$2,ROUND(Q7*(1-Mortalité!Q8)+Migration!Q8*(1-(Mortalité!Q8/2)),0),"-")</f>
        <v>-</v>
      </c>
      <c r="S8" s="14" t="str">
        <f>IF('Mode d''emploi'!$F$6&gt;=Population!S$2,ROUND(R7*(1-Mortalité!R8)+Migration!R8*(1-(Mortalité!R8/2)),0),"-")</f>
        <v>-</v>
      </c>
      <c r="T8" s="14" t="str">
        <f>IF('Mode d''emploi'!$F$6&gt;=Population!T$2,ROUND(S7*(1-Mortalité!S8)+Migration!S8*(1-(Mortalité!S8/2)),0),"-")</f>
        <v>-</v>
      </c>
    </row>
    <row r="9" spans="2:20" x14ac:dyDescent="0.25">
      <c r="B9" s="5" t="s">
        <v>3</v>
      </c>
      <c r="C9" s="16">
        <v>297613</v>
      </c>
      <c r="D9" s="14" t="str">
        <f>IF('Mode d''emploi'!$F$6&gt;=Population!D$2,ROUND(C8*(1-Mortalité!C9)+Migration!C9*(1-(Mortalité!C9/2)),0),"-")</f>
        <v>-</v>
      </c>
      <c r="E9" s="14" t="str">
        <f>IF('Mode d''emploi'!$F$6&gt;=Population!E$2,ROUND(D8*(1-Mortalité!D9)+Migration!D9*(1-(Mortalité!D9/2)),0),"-")</f>
        <v>-</v>
      </c>
      <c r="F9" s="14" t="str">
        <f>IF('Mode d''emploi'!$F$6&gt;=Population!F$2,ROUND(E8*(1-Mortalité!E9)+Migration!E9*(1-(Mortalité!E9/2)),0),"-")</f>
        <v>-</v>
      </c>
      <c r="G9" s="14" t="str">
        <f>IF('Mode d''emploi'!$F$6&gt;=Population!G$2,ROUND(F8*(1-Mortalité!F9)+Migration!F9*(1-(Mortalité!F9/2)),0),"-")</f>
        <v>-</v>
      </c>
      <c r="H9" s="14" t="str">
        <f>IF('Mode d''emploi'!$F$6&gt;=Population!H$2,ROUND(G8*(1-Mortalité!G9)+Migration!G9*(1-(Mortalité!G9/2)),0),"-")</f>
        <v>-</v>
      </c>
      <c r="I9" s="14" t="str">
        <f>IF('Mode d''emploi'!$F$6&gt;=Population!I$2,ROUND(H8*(1-Mortalité!H9)+Migration!H9*(1-(Mortalité!H9/2)),0),"-")</f>
        <v>-</v>
      </c>
      <c r="J9" s="14" t="str">
        <f>IF('Mode d''emploi'!$F$6&gt;=Population!J$2,ROUND(I8*(1-Mortalité!I9)+Migration!I9*(1-(Mortalité!I9/2)),0),"-")</f>
        <v>-</v>
      </c>
      <c r="K9" s="14" t="str">
        <f>IF('Mode d''emploi'!$F$6&gt;=Population!K$2,ROUND(J8*(1-Mortalité!J9)+Migration!J9*(1-(Mortalité!J9/2)),0),"-")</f>
        <v>-</v>
      </c>
      <c r="L9" s="14" t="str">
        <f>IF('Mode d''emploi'!$F$6&gt;=Population!L$2,ROUND(K8*(1-Mortalité!K9)+Migration!K9*(1-(Mortalité!K9/2)),0),"-")</f>
        <v>-</v>
      </c>
      <c r="M9" s="14" t="str">
        <f>IF('Mode d''emploi'!$F$6&gt;=Population!M$2,ROUND(L8*(1-Mortalité!L9)+Migration!L9*(1-(Mortalité!L9/2)),0),"-")</f>
        <v>-</v>
      </c>
      <c r="N9" s="14" t="str">
        <f>IF('Mode d''emploi'!$F$6&gt;=Population!N$2,ROUND(M8*(1-Mortalité!M9)+Migration!M9*(1-(Mortalité!M9/2)),0),"-")</f>
        <v>-</v>
      </c>
      <c r="O9" s="14" t="str">
        <f>IF('Mode d''emploi'!$F$6&gt;=Population!O$2,ROUND(N8*(1-Mortalité!N9)+Migration!N9*(1-(Mortalité!N9/2)),0),"-")</f>
        <v>-</v>
      </c>
      <c r="P9" s="14" t="str">
        <f>IF('Mode d''emploi'!$F$6&gt;=Population!P$2,ROUND(O8*(1-Mortalité!O9)+Migration!O9*(1-(Mortalité!O9/2)),0),"-")</f>
        <v>-</v>
      </c>
      <c r="Q9" s="14" t="str">
        <f>IF('Mode d''emploi'!$F$6&gt;=Population!Q$2,ROUND(P8*(1-Mortalité!P9)+Migration!P9*(1-(Mortalité!P9/2)),0),"-")</f>
        <v>-</v>
      </c>
      <c r="R9" s="14" t="str">
        <f>IF('Mode d''emploi'!$F$6&gt;=Population!R$2,ROUND(Q8*(1-Mortalité!Q9)+Migration!Q9*(1-(Mortalité!Q9/2)),0),"-")</f>
        <v>-</v>
      </c>
      <c r="S9" s="14" t="str">
        <f>IF('Mode d''emploi'!$F$6&gt;=Population!S$2,ROUND(R8*(1-Mortalité!R9)+Migration!R9*(1-(Mortalité!R9/2)),0),"-")</f>
        <v>-</v>
      </c>
      <c r="T9" s="14" t="str">
        <f>IF('Mode d''emploi'!$F$6&gt;=Population!T$2,ROUND(S8*(1-Mortalité!S9)+Migration!S9*(1-(Mortalité!S9/2)),0),"-")</f>
        <v>-</v>
      </c>
    </row>
    <row r="10" spans="2:20" x14ac:dyDescent="0.25">
      <c r="B10" s="5" t="s">
        <v>4</v>
      </c>
      <c r="C10" s="16">
        <v>292170</v>
      </c>
      <c r="D10" s="14" t="str">
        <f>IF('Mode d''emploi'!$F$6&gt;=Population!D$2,ROUND(C9*(1-Mortalité!C10)+Migration!C10*(1-(Mortalité!C10/2)),0),"-")</f>
        <v>-</v>
      </c>
      <c r="E10" s="14" t="str">
        <f>IF('Mode d''emploi'!$F$6&gt;=Population!E$2,ROUND(D9*(1-Mortalité!D10)+Migration!D10*(1-(Mortalité!D10/2)),0),"-")</f>
        <v>-</v>
      </c>
      <c r="F10" s="14" t="str">
        <f>IF('Mode d''emploi'!$F$6&gt;=Population!F$2,ROUND(E9*(1-Mortalité!E10)+Migration!E10*(1-(Mortalité!E10/2)),0),"-")</f>
        <v>-</v>
      </c>
      <c r="G10" s="14" t="str">
        <f>IF('Mode d''emploi'!$F$6&gt;=Population!G$2,ROUND(F9*(1-Mortalité!F10)+Migration!F10*(1-(Mortalité!F10/2)),0),"-")</f>
        <v>-</v>
      </c>
      <c r="H10" s="14" t="str">
        <f>IF('Mode d''emploi'!$F$6&gt;=Population!H$2,ROUND(G9*(1-Mortalité!G10)+Migration!G10*(1-(Mortalité!G10/2)),0),"-")</f>
        <v>-</v>
      </c>
      <c r="I10" s="14" t="str">
        <f>IF('Mode d''emploi'!$F$6&gt;=Population!I$2,ROUND(H9*(1-Mortalité!H10)+Migration!H10*(1-(Mortalité!H10/2)),0),"-")</f>
        <v>-</v>
      </c>
      <c r="J10" s="14" t="str">
        <f>IF('Mode d''emploi'!$F$6&gt;=Population!J$2,ROUND(I9*(1-Mortalité!I10)+Migration!I10*(1-(Mortalité!I10/2)),0),"-")</f>
        <v>-</v>
      </c>
      <c r="K10" s="14" t="str">
        <f>IF('Mode d''emploi'!$F$6&gt;=Population!K$2,ROUND(J9*(1-Mortalité!J10)+Migration!J10*(1-(Mortalité!J10/2)),0),"-")</f>
        <v>-</v>
      </c>
      <c r="L10" s="14" t="str">
        <f>IF('Mode d''emploi'!$F$6&gt;=Population!L$2,ROUND(K9*(1-Mortalité!K10)+Migration!K10*(1-(Mortalité!K10/2)),0),"-")</f>
        <v>-</v>
      </c>
      <c r="M10" s="14" t="str">
        <f>IF('Mode d''emploi'!$F$6&gt;=Population!M$2,ROUND(L9*(1-Mortalité!L10)+Migration!L10*(1-(Mortalité!L10/2)),0),"-")</f>
        <v>-</v>
      </c>
      <c r="N10" s="14" t="str">
        <f>IF('Mode d''emploi'!$F$6&gt;=Population!N$2,ROUND(M9*(1-Mortalité!M10)+Migration!M10*(1-(Mortalité!M10/2)),0),"-")</f>
        <v>-</v>
      </c>
      <c r="O10" s="14" t="str">
        <f>IF('Mode d''emploi'!$F$6&gt;=Population!O$2,ROUND(N9*(1-Mortalité!N10)+Migration!N10*(1-(Mortalité!N10/2)),0),"-")</f>
        <v>-</v>
      </c>
      <c r="P10" s="14" t="str">
        <f>IF('Mode d''emploi'!$F$6&gt;=Population!P$2,ROUND(O9*(1-Mortalité!O10)+Migration!O10*(1-(Mortalité!O10/2)),0),"-")</f>
        <v>-</v>
      </c>
      <c r="Q10" s="14" t="str">
        <f>IF('Mode d''emploi'!$F$6&gt;=Population!Q$2,ROUND(P9*(1-Mortalité!P10)+Migration!P10*(1-(Mortalité!P10/2)),0),"-")</f>
        <v>-</v>
      </c>
      <c r="R10" s="14" t="str">
        <f>IF('Mode d''emploi'!$F$6&gt;=Population!R$2,ROUND(Q9*(1-Mortalité!Q10)+Migration!Q10*(1-(Mortalité!Q10/2)),0),"-")</f>
        <v>-</v>
      </c>
      <c r="S10" s="14" t="str">
        <f>IF('Mode d''emploi'!$F$6&gt;=Population!S$2,ROUND(R9*(1-Mortalité!R10)+Migration!R10*(1-(Mortalité!R10/2)),0),"-")</f>
        <v>-</v>
      </c>
      <c r="T10" s="14" t="str">
        <f>IF('Mode d''emploi'!$F$6&gt;=Population!T$2,ROUND(S9*(1-Mortalité!S10)+Migration!S10*(1-(Mortalité!S10/2)),0),"-")</f>
        <v>-</v>
      </c>
    </row>
    <row r="11" spans="2:20" x14ac:dyDescent="0.25">
      <c r="B11" s="5" t="s">
        <v>5</v>
      </c>
      <c r="C11" s="16">
        <v>297391</v>
      </c>
      <c r="D11" s="14" t="str">
        <f>IF('Mode d''emploi'!$F$6&gt;=Population!D$2,ROUND(C10*(1-Mortalité!C11)+Migration!C11*(1-(Mortalité!C11/2)),0),"-")</f>
        <v>-</v>
      </c>
      <c r="E11" s="14" t="str">
        <f>IF('Mode d''emploi'!$F$6&gt;=Population!E$2,ROUND(D10*(1-Mortalité!D11)+Migration!D11*(1-(Mortalité!D11/2)),0),"-")</f>
        <v>-</v>
      </c>
      <c r="F11" s="14" t="str">
        <f>IF('Mode d''emploi'!$F$6&gt;=Population!F$2,ROUND(E10*(1-Mortalité!E11)+Migration!E11*(1-(Mortalité!E11/2)),0),"-")</f>
        <v>-</v>
      </c>
      <c r="G11" s="14" t="str">
        <f>IF('Mode d''emploi'!$F$6&gt;=Population!G$2,ROUND(F10*(1-Mortalité!F11)+Migration!F11*(1-(Mortalité!F11/2)),0),"-")</f>
        <v>-</v>
      </c>
      <c r="H11" s="14" t="str">
        <f>IF('Mode d''emploi'!$F$6&gt;=Population!H$2,ROUND(G10*(1-Mortalité!G11)+Migration!G11*(1-(Mortalité!G11/2)),0),"-")</f>
        <v>-</v>
      </c>
      <c r="I11" s="14" t="str">
        <f>IF('Mode d''emploi'!$F$6&gt;=Population!I$2,ROUND(H10*(1-Mortalité!H11)+Migration!H11*(1-(Mortalité!H11/2)),0),"-")</f>
        <v>-</v>
      </c>
      <c r="J11" s="14" t="str">
        <f>IF('Mode d''emploi'!$F$6&gt;=Population!J$2,ROUND(I10*(1-Mortalité!I11)+Migration!I11*(1-(Mortalité!I11/2)),0),"-")</f>
        <v>-</v>
      </c>
      <c r="K11" s="14" t="str">
        <f>IF('Mode d''emploi'!$F$6&gt;=Population!K$2,ROUND(J10*(1-Mortalité!J11)+Migration!J11*(1-(Mortalité!J11/2)),0),"-")</f>
        <v>-</v>
      </c>
      <c r="L11" s="14" t="str">
        <f>IF('Mode d''emploi'!$F$6&gt;=Population!L$2,ROUND(K10*(1-Mortalité!K11)+Migration!K11*(1-(Mortalité!K11/2)),0),"-")</f>
        <v>-</v>
      </c>
      <c r="M11" s="14" t="str">
        <f>IF('Mode d''emploi'!$F$6&gt;=Population!M$2,ROUND(L10*(1-Mortalité!L11)+Migration!L11*(1-(Mortalité!L11/2)),0),"-")</f>
        <v>-</v>
      </c>
      <c r="N11" s="14" t="str">
        <f>IF('Mode d''emploi'!$F$6&gt;=Population!N$2,ROUND(M10*(1-Mortalité!M11)+Migration!M11*(1-(Mortalité!M11/2)),0),"-")</f>
        <v>-</v>
      </c>
      <c r="O11" s="14" t="str">
        <f>IF('Mode d''emploi'!$F$6&gt;=Population!O$2,ROUND(N10*(1-Mortalité!N11)+Migration!N11*(1-(Mortalité!N11/2)),0),"-")</f>
        <v>-</v>
      </c>
      <c r="P11" s="14" t="str">
        <f>IF('Mode d''emploi'!$F$6&gt;=Population!P$2,ROUND(O10*(1-Mortalité!O11)+Migration!O11*(1-(Mortalité!O11/2)),0),"-")</f>
        <v>-</v>
      </c>
      <c r="Q11" s="14" t="str">
        <f>IF('Mode d''emploi'!$F$6&gt;=Population!Q$2,ROUND(P10*(1-Mortalité!P11)+Migration!P11*(1-(Mortalité!P11/2)),0),"-")</f>
        <v>-</v>
      </c>
      <c r="R11" s="14" t="str">
        <f>IF('Mode d''emploi'!$F$6&gt;=Population!R$2,ROUND(Q10*(1-Mortalité!Q11)+Migration!Q11*(1-(Mortalité!Q11/2)),0),"-")</f>
        <v>-</v>
      </c>
      <c r="S11" s="14" t="str">
        <f>IF('Mode d''emploi'!$F$6&gt;=Population!S$2,ROUND(R10*(1-Mortalité!R11)+Migration!R11*(1-(Mortalité!R11/2)),0),"-")</f>
        <v>-</v>
      </c>
      <c r="T11" s="14" t="str">
        <f>IF('Mode d''emploi'!$F$6&gt;=Population!T$2,ROUND(S10*(1-Mortalité!S11)+Migration!S11*(1-(Mortalité!S11/2)),0),"-")</f>
        <v>-</v>
      </c>
    </row>
    <row r="12" spans="2:20" x14ac:dyDescent="0.25">
      <c r="B12" s="5" t="s">
        <v>6</v>
      </c>
      <c r="C12" s="16">
        <v>329701</v>
      </c>
      <c r="D12" s="14" t="str">
        <f>IF('Mode d''emploi'!$F$6&gt;=Population!D$2,ROUND(C11*(1-Mortalité!C12)+Migration!C12*(1-(Mortalité!C12/2)),0),"-")</f>
        <v>-</v>
      </c>
      <c r="E12" s="14" t="str">
        <f>IF('Mode d''emploi'!$F$6&gt;=Population!E$2,ROUND(D11*(1-Mortalité!D12)+Migration!D12*(1-(Mortalité!D12/2)),0),"-")</f>
        <v>-</v>
      </c>
      <c r="F12" s="14" t="str">
        <f>IF('Mode d''emploi'!$F$6&gt;=Population!F$2,ROUND(E11*(1-Mortalité!E12)+Migration!E12*(1-(Mortalité!E12/2)),0),"-")</f>
        <v>-</v>
      </c>
      <c r="G12" s="14" t="str">
        <f>IF('Mode d''emploi'!$F$6&gt;=Population!G$2,ROUND(F11*(1-Mortalité!F12)+Migration!F12*(1-(Mortalité!F12/2)),0),"-")</f>
        <v>-</v>
      </c>
      <c r="H12" s="14" t="str">
        <f>IF('Mode d''emploi'!$F$6&gt;=Population!H$2,ROUND(G11*(1-Mortalité!G12)+Migration!G12*(1-(Mortalité!G12/2)),0),"-")</f>
        <v>-</v>
      </c>
      <c r="I12" s="14" t="str">
        <f>IF('Mode d''emploi'!$F$6&gt;=Population!I$2,ROUND(H11*(1-Mortalité!H12)+Migration!H12*(1-(Mortalité!H12/2)),0),"-")</f>
        <v>-</v>
      </c>
      <c r="J12" s="14" t="str">
        <f>IF('Mode d''emploi'!$F$6&gt;=Population!J$2,ROUND(I11*(1-Mortalité!I12)+Migration!I12*(1-(Mortalité!I12/2)),0),"-")</f>
        <v>-</v>
      </c>
      <c r="K12" s="14" t="str">
        <f>IF('Mode d''emploi'!$F$6&gt;=Population!K$2,ROUND(J11*(1-Mortalité!J12)+Migration!J12*(1-(Mortalité!J12/2)),0),"-")</f>
        <v>-</v>
      </c>
      <c r="L12" s="14" t="str">
        <f>IF('Mode d''emploi'!$F$6&gt;=Population!L$2,ROUND(K11*(1-Mortalité!K12)+Migration!K12*(1-(Mortalité!K12/2)),0),"-")</f>
        <v>-</v>
      </c>
      <c r="M12" s="14" t="str">
        <f>IF('Mode d''emploi'!$F$6&gt;=Population!M$2,ROUND(L11*(1-Mortalité!L12)+Migration!L12*(1-(Mortalité!L12/2)),0),"-")</f>
        <v>-</v>
      </c>
      <c r="N12" s="14" t="str">
        <f>IF('Mode d''emploi'!$F$6&gt;=Population!N$2,ROUND(M11*(1-Mortalité!M12)+Migration!M12*(1-(Mortalité!M12/2)),0),"-")</f>
        <v>-</v>
      </c>
      <c r="O12" s="14" t="str">
        <f>IF('Mode d''emploi'!$F$6&gt;=Population!O$2,ROUND(N11*(1-Mortalité!N12)+Migration!N12*(1-(Mortalité!N12/2)),0),"-")</f>
        <v>-</v>
      </c>
      <c r="P12" s="14" t="str">
        <f>IF('Mode d''emploi'!$F$6&gt;=Population!P$2,ROUND(O11*(1-Mortalité!O12)+Migration!O12*(1-(Mortalité!O12/2)),0),"-")</f>
        <v>-</v>
      </c>
      <c r="Q12" s="14" t="str">
        <f>IF('Mode d''emploi'!$F$6&gt;=Population!Q$2,ROUND(P11*(1-Mortalité!P12)+Migration!P12*(1-(Mortalité!P12/2)),0),"-")</f>
        <v>-</v>
      </c>
      <c r="R12" s="14" t="str">
        <f>IF('Mode d''emploi'!$F$6&gt;=Population!R$2,ROUND(Q11*(1-Mortalité!Q12)+Migration!Q12*(1-(Mortalité!Q12/2)),0),"-")</f>
        <v>-</v>
      </c>
      <c r="S12" s="14" t="str">
        <f>IF('Mode d''emploi'!$F$6&gt;=Population!S$2,ROUND(R11*(1-Mortalité!R12)+Migration!R12*(1-(Mortalité!R12/2)),0),"-")</f>
        <v>-</v>
      </c>
      <c r="T12" s="14" t="str">
        <f>IF('Mode d''emploi'!$F$6&gt;=Population!T$2,ROUND(S11*(1-Mortalité!S12)+Migration!S12*(1-(Mortalité!S12/2)),0),"-")</f>
        <v>-</v>
      </c>
    </row>
    <row r="13" spans="2:20" x14ac:dyDescent="0.25">
      <c r="B13" s="5" t="s">
        <v>10</v>
      </c>
      <c r="C13" s="16">
        <v>333462</v>
      </c>
      <c r="D13" s="14" t="str">
        <f>IF('Mode d''emploi'!$F$6&gt;=Population!D$2,ROUND(C12*(1-Mortalité!C13)+Migration!C13*(1-(Mortalité!C13/2)),0),"-")</f>
        <v>-</v>
      </c>
      <c r="E13" s="14" t="str">
        <f>IF('Mode d''emploi'!$F$6&gt;=Population!E$2,ROUND(D12*(1-Mortalité!D13)+Migration!D13*(1-(Mortalité!D13/2)),0),"-")</f>
        <v>-</v>
      </c>
      <c r="F13" s="14" t="str">
        <f>IF('Mode d''emploi'!$F$6&gt;=Population!F$2,ROUND(E12*(1-Mortalité!E13)+Migration!E13*(1-(Mortalité!E13/2)),0),"-")</f>
        <v>-</v>
      </c>
      <c r="G13" s="14" t="str">
        <f>IF('Mode d''emploi'!$F$6&gt;=Population!G$2,ROUND(F12*(1-Mortalité!F13)+Migration!F13*(1-(Mortalité!F13/2)),0),"-")</f>
        <v>-</v>
      </c>
      <c r="H13" s="14" t="str">
        <f>IF('Mode d''emploi'!$F$6&gt;=Population!H$2,ROUND(G12*(1-Mortalité!G13)+Migration!G13*(1-(Mortalité!G13/2)),0),"-")</f>
        <v>-</v>
      </c>
      <c r="I13" s="14" t="str">
        <f>IF('Mode d''emploi'!$F$6&gt;=Population!I$2,ROUND(H12*(1-Mortalité!H13)+Migration!H13*(1-(Mortalité!H13/2)),0),"-")</f>
        <v>-</v>
      </c>
      <c r="J13" s="14" t="str">
        <f>IF('Mode d''emploi'!$F$6&gt;=Population!J$2,ROUND(I12*(1-Mortalité!I13)+Migration!I13*(1-(Mortalité!I13/2)),0),"-")</f>
        <v>-</v>
      </c>
      <c r="K13" s="14" t="str">
        <f>IF('Mode d''emploi'!$F$6&gt;=Population!K$2,ROUND(J12*(1-Mortalité!J13)+Migration!J13*(1-(Mortalité!J13/2)),0),"-")</f>
        <v>-</v>
      </c>
      <c r="L13" s="14" t="str">
        <f>IF('Mode d''emploi'!$F$6&gt;=Population!L$2,ROUND(K12*(1-Mortalité!K13)+Migration!K13*(1-(Mortalité!K13/2)),0),"-")</f>
        <v>-</v>
      </c>
      <c r="M13" s="14" t="str">
        <f>IF('Mode d''emploi'!$F$6&gt;=Population!M$2,ROUND(L12*(1-Mortalité!L13)+Migration!L13*(1-(Mortalité!L13/2)),0),"-")</f>
        <v>-</v>
      </c>
      <c r="N13" s="14" t="str">
        <f>IF('Mode d''emploi'!$F$6&gt;=Population!N$2,ROUND(M12*(1-Mortalité!M13)+Migration!M13*(1-(Mortalité!M13/2)),0),"-")</f>
        <v>-</v>
      </c>
      <c r="O13" s="14" t="str">
        <f>IF('Mode d''emploi'!$F$6&gt;=Population!O$2,ROUND(N12*(1-Mortalité!N13)+Migration!N13*(1-(Mortalité!N13/2)),0),"-")</f>
        <v>-</v>
      </c>
      <c r="P13" s="14" t="str">
        <f>IF('Mode d''emploi'!$F$6&gt;=Population!P$2,ROUND(O12*(1-Mortalité!O13)+Migration!O13*(1-(Mortalité!O13/2)),0),"-")</f>
        <v>-</v>
      </c>
      <c r="Q13" s="14" t="str">
        <f>IF('Mode d''emploi'!$F$6&gt;=Population!Q$2,ROUND(P12*(1-Mortalité!P13)+Migration!P13*(1-(Mortalité!P13/2)),0),"-")</f>
        <v>-</v>
      </c>
      <c r="R13" s="14" t="str">
        <f>IF('Mode d''emploi'!$F$6&gt;=Population!R$2,ROUND(Q12*(1-Mortalité!Q13)+Migration!Q13*(1-(Mortalité!Q13/2)),0),"-")</f>
        <v>-</v>
      </c>
      <c r="S13" s="14" t="str">
        <f>IF('Mode d''emploi'!$F$6&gt;=Population!S$2,ROUND(R12*(1-Mortalité!R13)+Migration!R13*(1-(Mortalité!R13/2)),0),"-")</f>
        <v>-</v>
      </c>
      <c r="T13" s="14" t="str">
        <f>IF('Mode d''emploi'!$F$6&gt;=Population!T$2,ROUND(S12*(1-Mortalité!S13)+Migration!S13*(1-(Mortalité!S13/2)),0),"-")</f>
        <v>-</v>
      </c>
    </row>
    <row r="14" spans="2:20" x14ac:dyDescent="0.25">
      <c r="B14" s="5" t="s">
        <v>11</v>
      </c>
      <c r="C14" s="16">
        <v>282913</v>
      </c>
      <c r="D14" s="14" t="str">
        <f>IF('Mode d''emploi'!$F$6&gt;=Population!D$2,ROUND(C13*(1-Mortalité!C14)+Migration!C14*(1-(Mortalité!C14/2)),0),"-")</f>
        <v>-</v>
      </c>
      <c r="E14" s="14" t="str">
        <f>IF('Mode d''emploi'!$F$6&gt;=Population!E$2,ROUND(D13*(1-Mortalité!D14)+Migration!D14*(1-(Mortalité!D14/2)),0),"-")</f>
        <v>-</v>
      </c>
      <c r="F14" s="14" t="str">
        <f>IF('Mode d''emploi'!$F$6&gt;=Population!F$2,ROUND(E13*(1-Mortalité!E14)+Migration!E14*(1-(Mortalité!E14/2)),0),"-")</f>
        <v>-</v>
      </c>
      <c r="G14" s="14" t="str">
        <f>IF('Mode d''emploi'!$F$6&gt;=Population!G$2,ROUND(F13*(1-Mortalité!F14)+Migration!F14*(1-(Mortalité!F14/2)),0),"-")</f>
        <v>-</v>
      </c>
      <c r="H14" s="14" t="str">
        <f>IF('Mode d''emploi'!$F$6&gt;=Population!H$2,ROUND(G13*(1-Mortalité!G14)+Migration!G14*(1-(Mortalité!G14/2)),0),"-")</f>
        <v>-</v>
      </c>
      <c r="I14" s="14" t="str">
        <f>IF('Mode d''emploi'!$F$6&gt;=Population!I$2,ROUND(H13*(1-Mortalité!H14)+Migration!H14*(1-(Mortalité!H14/2)),0),"-")</f>
        <v>-</v>
      </c>
      <c r="J14" s="14" t="str">
        <f>IF('Mode d''emploi'!$F$6&gt;=Population!J$2,ROUND(I13*(1-Mortalité!I14)+Migration!I14*(1-(Mortalité!I14/2)),0),"-")</f>
        <v>-</v>
      </c>
      <c r="K14" s="14" t="str">
        <f>IF('Mode d''emploi'!$F$6&gt;=Population!K$2,ROUND(J13*(1-Mortalité!J14)+Migration!J14*(1-(Mortalité!J14/2)),0),"-")</f>
        <v>-</v>
      </c>
      <c r="L14" s="14" t="str">
        <f>IF('Mode d''emploi'!$F$6&gt;=Population!L$2,ROUND(K13*(1-Mortalité!K14)+Migration!K14*(1-(Mortalité!K14/2)),0),"-")</f>
        <v>-</v>
      </c>
      <c r="M14" s="14" t="str">
        <f>IF('Mode d''emploi'!$F$6&gt;=Population!M$2,ROUND(L13*(1-Mortalité!L14)+Migration!L14*(1-(Mortalité!L14/2)),0),"-")</f>
        <v>-</v>
      </c>
      <c r="N14" s="14" t="str">
        <f>IF('Mode d''emploi'!$F$6&gt;=Population!N$2,ROUND(M13*(1-Mortalité!M14)+Migration!M14*(1-(Mortalité!M14/2)),0),"-")</f>
        <v>-</v>
      </c>
      <c r="O14" s="14" t="str">
        <f>IF('Mode d''emploi'!$F$6&gt;=Population!O$2,ROUND(N13*(1-Mortalité!N14)+Migration!N14*(1-(Mortalité!N14/2)),0),"-")</f>
        <v>-</v>
      </c>
      <c r="P14" s="14" t="str">
        <f>IF('Mode d''emploi'!$F$6&gt;=Population!P$2,ROUND(O13*(1-Mortalité!O14)+Migration!O14*(1-(Mortalité!O14/2)),0),"-")</f>
        <v>-</v>
      </c>
      <c r="Q14" s="14" t="str">
        <f>IF('Mode d''emploi'!$F$6&gt;=Population!Q$2,ROUND(P13*(1-Mortalité!P14)+Migration!P14*(1-(Mortalité!P14/2)),0),"-")</f>
        <v>-</v>
      </c>
      <c r="R14" s="14" t="str">
        <f>IF('Mode d''emploi'!$F$6&gt;=Population!R$2,ROUND(Q13*(1-Mortalité!Q14)+Migration!Q14*(1-(Mortalité!Q14/2)),0),"-")</f>
        <v>-</v>
      </c>
      <c r="S14" s="14" t="str">
        <f>IF('Mode d''emploi'!$F$6&gt;=Population!S$2,ROUND(R13*(1-Mortalité!R14)+Migration!R14*(1-(Mortalité!R14/2)),0),"-")</f>
        <v>-</v>
      </c>
      <c r="T14" s="14" t="str">
        <f>IF('Mode d''emploi'!$F$6&gt;=Population!T$2,ROUND(S13*(1-Mortalité!S14)+Migration!S14*(1-(Mortalité!S14/2)),0),"-")</f>
        <v>-</v>
      </c>
    </row>
    <row r="15" spans="2:20" x14ac:dyDescent="0.25">
      <c r="B15" s="5" t="s">
        <v>12</v>
      </c>
      <c r="C15" s="16">
        <v>231880</v>
      </c>
      <c r="D15" s="14" t="str">
        <f>IF('Mode d''emploi'!$F$6&gt;=Population!D$2,ROUND(C14*(1-Mortalité!C15)+Migration!C15*(1-(Mortalité!C15/2)),0),"-")</f>
        <v>-</v>
      </c>
      <c r="E15" s="14" t="str">
        <f>IF('Mode d''emploi'!$F$6&gt;=Population!E$2,ROUND(D14*(1-Mortalité!D15)+Migration!D15*(1-(Mortalité!D15/2)),0),"-")</f>
        <v>-</v>
      </c>
      <c r="F15" s="14" t="str">
        <f>IF('Mode d''emploi'!$F$6&gt;=Population!F$2,ROUND(E14*(1-Mortalité!E15)+Migration!E15*(1-(Mortalité!E15/2)),0),"-")</f>
        <v>-</v>
      </c>
      <c r="G15" s="14" t="str">
        <f>IF('Mode d''emploi'!$F$6&gt;=Population!G$2,ROUND(F14*(1-Mortalité!F15)+Migration!F15*(1-(Mortalité!F15/2)),0),"-")</f>
        <v>-</v>
      </c>
      <c r="H15" s="14" t="str">
        <f>IF('Mode d''emploi'!$F$6&gt;=Population!H$2,ROUND(G14*(1-Mortalité!G15)+Migration!G15*(1-(Mortalité!G15/2)),0),"-")</f>
        <v>-</v>
      </c>
      <c r="I15" s="14" t="str">
        <f>IF('Mode d''emploi'!$F$6&gt;=Population!I$2,ROUND(H14*(1-Mortalité!H15)+Migration!H15*(1-(Mortalité!H15/2)),0),"-")</f>
        <v>-</v>
      </c>
      <c r="J15" s="14" t="str">
        <f>IF('Mode d''emploi'!$F$6&gt;=Population!J$2,ROUND(I14*(1-Mortalité!I15)+Migration!I15*(1-(Mortalité!I15/2)),0),"-")</f>
        <v>-</v>
      </c>
      <c r="K15" s="14" t="str">
        <f>IF('Mode d''emploi'!$F$6&gt;=Population!K$2,ROUND(J14*(1-Mortalité!J15)+Migration!J15*(1-(Mortalité!J15/2)),0),"-")</f>
        <v>-</v>
      </c>
      <c r="L15" s="14" t="str">
        <f>IF('Mode d''emploi'!$F$6&gt;=Population!L$2,ROUND(K14*(1-Mortalité!K15)+Migration!K15*(1-(Mortalité!K15/2)),0),"-")</f>
        <v>-</v>
      </c>
      <c r="M15" s="14" t="str">
        <f>IF('Mode d''emploi'!$F$6&gt;=Population!M$2,ROUND(L14*(1-Mortalité!L15)+Migration!L15*(1-(Mortalité!L15/2)),0),"-")</f>
        <v>-</v>
      </c>
      <c r="N15" s="14" t="str">
        <f>IF('Mode d''emploi'!$F$6&gt;=Population!N$2,ROUND(M14*(1-Mortalité!M15)+Migration!M15*(1-(Mortalité!M15/2)),0),"-")</f>
        <v>-</v>
      </c>
      <c r="O15" s="14" t="str">
        <f>IF('Mode d''emploi'!$F$6&gt;=Population!O$2,ROUND(N14*(1-Mortalité!N15)+Migration!N15*(1-(Mortalité!N15/2)),0),"-")</f>
        <v>-</v>
      </c>
      <c r="P15" s="14" t="str">
        <f>IF('Mode d''emploi'!$F$6&gt;=Population!P$2,ROUND(O14*(1-Mortalité!O15)+Migration!O15*(1-(Mortalité!O15/2)),0),"-")</f>
        <v>-</v>
      </c>
      <c r="Q15" s="14" t="str">
        <f>IF('Mode d''emploi'!$F$6&gt;=Population!Q$2,ROUND(P14*(1-Mortalité!P15)+Migration!P15*(1-(Mortalité!P15/2)),0),"-")</f>
        <v>-</v>
      </c>
      <c r="R15" s="14" t="str">
        <f>IF('Mode d''emploi'!$F$6&gt;=Population!R$2,ROUND(Q14*(1-Mortalité!Q15)+Migration!Q15*(1-(Mortalité!Q15/2)),0),"-")</f>
        <v>-</v>
      </c>
      <c r="S15" s="14" t="str">
        <f>IF('Mode d''emploi'!$F$6&gt;=Population!S$2,ROUND(R14*(1-Mortalité!R15)+Migration!R15*(1-(Mortalité!R15/2)),0),"-")</f>
        <v>-</v>
      </c>
      <c r="T15" s="14" t="str">
        <f>IF('Mode d''emploi'!$F$6&gt;=Population!T$2,ROUND(S14*(1-Mortalité!S15)+Migration!S15*(1-(Mortalité!S15/2)),0),"-")</f>
        <v>-</v>
      </c>
    </row>
    <row r="16" spans="2:20" x14ac:dyDescent="0.25">
      <c r="B16" s="5" t="s">
        <v>13</v>
      </c>
      <c r="C16" s="16">
        <v>209673</v>
      </c>
      <c r="D16" s="14" t="str">
        <f>IF('Mode d''emploi'!$F$6&gt;=Population!D$2,ROUND(C15*(1-Mortalité!C16)+Migration!C16*(1-(Mortalité!C16/2)),0),"-")</f>
        <v>-</v>
      </c>
      <c r="E16" s="14" t="str">
        <f>IF('Mode d''emploi'!$F$6&gt;=Population!E$2,ROUND(D15*(1-Mortalité!D16)+Migration!D16*(1-(Mortalité!D16/2)),0),"-")</f>
        <v>-</v>
      </c>
      <c r="F16" s="14" t="str">
        <f>IF('Mode d''emploi'!$F$6&gt;=Population!F$2,ROUND(E15*(1-Mortalité!E16)+Migration!E16*(1-(Mortalité!E16/2)),0),"-")</f>
        <v>-</v>
      </c>
      <c r="G16" s="14" t="str">
        <f>IF('Mode d''emploi'!$F$6&gt;=Population!G$2,ROUND(F15*(1-Mortalité!F16)+Migration!F16*(1-(Mortalité!F16/2)),0),"-")</f>
        <v>-</v>
      </c>
      <c r="H16" s="14" t="str">
        <f>IF('Mode d''emploi'!$F$6&gt;=Population!H$2,ROUND(G15*(1-Mortalité!G16)+Migration!G16*(1-(Mortalité!G16/2)),0),"-")</f>
        <v>-</v>
      </c>
      <c r="I16" s="14" t="str">
        <f>IF('Mode d''emploi'!$F$6&gt;=Population!I$2,ROUND(H15*(1-Mortalité!H16)+Migration!H16*(1-(Mortalité!H16/2)),0),"-")</f>
        <v>-</v>
      </c>
      <c r="J16" s="14" t="str">
        <f>IF('Mode d''emploi'!$F$6&gt;=Population!J$2,ROUND(I15*(1-Mortalité!I16)+Migration!I16*(1-(Mortalité!I16/2)),0),"-")</f>
        <v>-</v>
      </c>
      <c r="K16" s="14" t="str">
        <f>IF('Mode d''emploi'!$F$6&gt;=Population!K$2,ROUND(J15*(1-Mortalité!J16)+Migration!J16*(1-(Mortalité!J16/2)),0),"-")</f>
        <v>-</v>
      </c>
      <c r="L16" s="14" t="str">
        <f>IF('Mode d''emploi'!$F$6&gt;=Population!L$2,ROUND(K15*(1-Mortalité!K16)+Migration!K16*(1-(Mortalité!K16/2)),0),"-")</f>
        <v>-</v>
      </c>
      <c r="M16" s="14" t="str">
        <f>IF('Mode d''emploi'!$F$6&gt;=Population!M$2,ROUND(L15*(1-Mortalité!L16)+Migration!L16*(1-(Mortalité!L16/2)),0),"-")</f>
        <v>-</v>
      </c>
      <c r="N16" s="14" t="str">
        <f>IF('Mode d''emploi'!$F$6&gt;=Population!N$2,ROUND(M15*(1-Mortalité!M16)+Migration!M16*(1-(Mortalité!M16/2)),0),"-")</f>
        <v>-</v>
      </c>
      <c r="O16" s="14" t="str">
        <f>IF('Mode d''emploi'!$F$6&gt;=Population!O$2,ROUND(N15*(1-Mortalité!N16)+Migration!N16*(1-(Mortalité!N16/2)),0),"-")</f>
        <v>-</v>
      </c>
      <c r="P16" s="14" t="str">
        <f>IF('Mode d''emploi'!$F$6&gt;=Population!P$2,ROUND(O15*(1-Mortalité!O16)+Migration!O16*(1-(Mortalité!O16/2)),0),"-")</f>
        <v>-</v>
      </c>
      <c r="Q16" s="14" t="str">
        <f>IF('Mode d''emploi'!$F$6&gt;=Population!Q$2,ROUND(P15*(1-Mortalité!P16)+Migration!P16*(1-(Mortalité!P16/2)),0),"-")</f>
        <v>-</v>
      </c>
      <c r="R16" s="14" t="str">
        <f>IF('Mode d''emploi'!$F$6&gt;=Population!R$2,ROUND(Q15*(1-Mortalité!Q16)+Migration!Q16*(1-(Mortalité!Q16/2)),0),"-")</f>
        <v>-</v>
      </c>
      <c r="S16" s="14" t="str">
        <f>IF('Mode d''emploi'!$F$6&gt;=Population!S$2,ROUND(R15*(1-Mortalité!R16)+Migration!R16*(1-(Mortalité!R16/2)),0),"-")</f>
        <v>-</v>
      </c>
      <c r="T16" s="14" t="str">
        <f>IF('Mode d''emploi'!$F$6&gt;=Population!T$2,ROUND(S15*(1-Mortalité!S16)+Migration!S16*(1-(Mortalité!S16/2)),0),"-")</f>
        <v>-</v>
      </c>
    </row>
    <row r="17" spans="2:20" x14ac:dyDescent="0.25">
      <c r="B17" s="5" t="s">
        <v>14</v>
      </c>
      <c r="C17" s="16">
        <v>175474</v>
      </c>
      <c r="D17" s="14" t="str">
        <f>IF('Mode d''emploi'!$F$6&gt;=Population!D$2,ROUND(C16*(1-Mortalité!C17)+Migration!C17*(1-(Mortalité!C17/2)),0),"-")</f>
        <v>-</v>
      </c>
      <c r="E17" s="14" t="str">
        <f>IF('Mode d''emploi'!$F$6&gt;=Population!E$2,ROUND(D16*(1-Mortalité!D17)+Migration!D17*(1-(Mortalité!D17/2)),0),"-")</f>
        <v>-</v>
      </c>
      <c r="F17" s="14" t="str">
        <f>IF('Mode d''emploi'!$F$6&gt;=Population!F$2,ROUND(E16*(1-Mortalité!E17)+Migration!E17*(1-(Mortalité!E17/2)),0),"-")</f>
        <v>-</v>
      </c>
      <c r="G17" s="14" t="str">
        <f>IF('Mode d''emploi'!$F$6&gt;=Population!G$2,ROUND(F16*(1-Mortalité!F17)+Migration!F17*(1-(Mortalité!F17/2)),0),"-")</f>
        <v>-</v>
      </c>
      <c r="H17" s="14" t="str">
        <f>IF('Mode d''emploi'!$F$6&gt;=Population!H$2,ROUND(G16*(1-Mortalité!G17)+Migration!G17*(1-(Mortalité!G17/2)),0),"-")</f>
        <v>-</v>
      </c>
      <c r="I17" s="14" t="str">
        <f>IF('Mode d''emploi'!$F$6&gt;=Population!I$2,ROUND(H16*(1-Mortalité!H17)+Migration!H17*(1-(Mortalité!H17/2)),0),"-")</f>
        <v>-</v>
      </c>
      <c r="J17" s="14" t="str">
        <f>IF('Mode d''emploi'!$F$6&gt;=Population!J$2,ROUND(I16*(1-Mortalité!I17)+Migration!I17*(1-(Mortalité!I17/2)),0),"-")</f>
        <v>-</v>
      </c>
      <c r="K17" s="14" t="str">
        <f>IF('Mode d''emploi'!$F$6&gt;=Population!K$2,ROUND(J16*(1-Mortalité!J17)+Migration!J17*(1-(Mortalité!J17/2)),0),"-")</f>
        <v>-</v>
      </c>
      <c r="L17" s="14" t="str">
        <f>IF('Mode d''emploi'!$F$6&gt;=Population!L$2,ROUND(K16*(1-Mortalité!K17)+Migration!K17*(1-(Mortalité!K17/2)),0),"-")</f>
        <v>-</v>
      </c>
      <c r="M17" s="14" t="str">
        <f>IF('Mode d''emploi'!$F$6&gt;=Population!M$2,ROUND(L16*(1-Mortalité!L17)+Migration!L17*(1-(Mortalité!L17/2)),0),"-")</f>
        <v>-</v>
      </c>
      <c r="N17" s="14" t="str">
        <f>IF('Mode d''emploi'!$F$6&gt;=Population!N$2,ROUND(M16*(1-Mortalité!M17)+Migration!M17*(1-(Mortalité!M17/2)),0),"-")</f>
        <v>-</v>
      </c>
      <c r="O17" s="14" t="str">
        <f>IF('Mode d''emploi'!$F$6&gt;=Population!O$2,ROUND(N16*(1-Mortalité!N17)+Migration!N17*(1-(Mortalité!N17/2)),0),"-")</f>
        <v>-</v>
      </c>
      <c r="P17" s="14" t="str">
        <f>IF('Mode d''emploi'!$F$6&gt;=Population!P$2,ROUND(O16*(1-Mortalité!O17)+Migration!O17*(1-(Mortalité!O17/2)),0),"-")</f>
        <v>-</v>
      </c>
      <c r="Q17" s="14" t="str">
        <f>IF('Mode d''emploi'!$F$6&gt;=Population!Q$2,ROUND(P16*(1-Mortalité!P17)+Migration!P17*(1-(Mortalité!P17/2)),0),"-")</f>
        <v>-</v>
      </c>
      <c r="R17" s="14" t="str">
        <f>IF('Mode d''emploi'!$F$6&gt;=Population!R$2,ROUND(Q16*(1-Mortalité!Q17)+Migration!Q17*(1-(Mortalité!Q17/2)),0),"-")</f>
        <v>-</v>
      </c>
      <c r="S17" s="14" t="str">
        <f>IF('Mode d''emploi'!$F$6&gt;=Population!S$2,ROUND(R16*(1-Mortalité!R17)+Migration!R17*(1-(Mortalité!R17/2)),0),"-")</f>
        <v>-</v>
      </c>
      <c r="T17" s="14" t="str">
        <f>IF('Mode d''emploi'!$F$6&gt;=Population!T$2,ROUND(S16*(1-Mortalité!S17)+Migration!S17*(1-(Mortalité!S17/2)),0),"-")</f>
        <v>-</v>
      </c>
    </row>
    <row r="18" spans="2:20" x14ac:dyDescent="0.25">
      <c r="B18" s="5" t="s">
        <v>15</v>
      </c>
      <c r="C18" s="16">
        <v>121302</v>
      </c>
      <c r="D18" s="14" t="str">
        <f>IF('Mode d''emploi'!$F$6&gt;=Population!D$2,ROUND(C17*(1-Mortalité!C18)+Migration!C18*(1-(Mortalité!C18/2)),0),"-")</f>
        <v>-</v>
      </c>
      <c r="E18" s="14" t="str">
        <f>IF('Mode d''emploi'!$F$6&gt;=Population!E$2,ROUND(D17*(1-Mortalité!D18)+Migration!D18*(1-(Mortalité!D18/2)),0),"-")</f>
        <v>-</v>
      </c>
      <c r="F18" s="14" t="str">
        <f>IF('Mode d''emploi'!$F$6&gt;=Population!F$2,ROUND(E17*(1-Mortalité!E18)+Migration!E18*(1-(Mortalité!E18/2)),0),"-")</f>
        <v>-</v>
      </c>
      <c r="G18" s="14" t="str">
        <f>IF('Mode d''emploi'!$F$6&gt;=Population!G$2,ROUND(F17*(1-Mortalité!F18)+Migration!F18*(1-(Mortalité!F18/2)),0),"-")</f>
        <v>-</v>
      </c>
      <c r="H18" s="14" t="str">
        <f>IF('Mode d''emploi'!$F$6&gt;=Population!H$2,ROUND(G17*(1-Mortalité!G18)+Migration!G18*(1-(Mortalité!G18/2)),0),"-")</f>
        <v>-</v>
      </c>
      <c r="I18" s="14" t="str">
        <f>IF('Mode d''emploi'!$F$6&gt;=Population!I$2,ROUND(H17*(1-Mortalité!H18)+Migration!H18*(1-(Mortalité!H18/2)),0),"-")</f>
        <v>-</v>
      </c>
      <c r="J18" s="14" t="str">
        <f>IF('Mode d''emploi'!$F$6&gt;=Population!J$2,ROUND(I17*(1-Mortalité!I18)+Migration!I18*(1-(Mortalité!I18/2)),0),"-")</f>
        <v>-</v>
      </c>
      <c r="K18" s="14" t="str">
        <f>IF('Mode d''emploi'!$F$6&gt;=Population!K$2,ROUND(J17*(1-Mortalité!J18)+Migration!J18*(1-(Mortalité!J18/2)),0),"-")</f>
        <v>-</v>
      </c>
      <c r="L18" s="14" t="str">
        <f>IF('Mode d''emploi'!$F$6&gt;=Population!L$2,ROUND(K17*(1-Mortalité!K18)+Migration!K18*(1-(Mortalité!K18/2)),0),"-")</f>
        <v>-</v>
      </c>
      <c r="M18" s="14" t="str">
        <f>IF('Mode d''emploi'!$F$6&gt;=Population!M$2,ROUND(L17*(1-Mortalité!L18)+Migration!L18*(1-(Mortalité!L18/2)),0),"-")</f>
        <v>-</v>
      </c>
      <c r="N18" s="14" t="str">
        <f>IF('Mode d''emploi'!$F$6&gt;=Population!N$2,ROUND(M17*(1-Mortalité!M18)+Migration!M18*(1-(Mortalité!M18/2)),0),"-")</f>
        <v>-</v>
      </c>
      <c r="O18" s="14" t="str">
        <f>IF('Mode d''emploi'!$F$6&gt;=Population!O$2,ROUND(N17*(1-Mortalité!N18)+Migration!N18*(1-(Mortalité!N18/2)),0),"-")</f>
        <v>-</v>
      </c>
      <c r="P18" s="14" t="str">
        <f>IF('Mode d''emploi'!$F$6&gt;=Population!P$2,ROUND(O17*(1-Mortalité!O18)+Migration!O18*(1-(Mortalité!O18/2)),0),"-")</f>
        <v>-</v>
      </c>
      <c r="Q18" s="14" t="str">
        <f>IF('Mode d''emploi'!$F$6&gt;=Population!Q$2,ROUND(P17*(1-Mortalité!P18)+Migration!P18*(1-(Mortalité!P18/2)),0),"-")</f>
        <v>-</v>
      </c>
      <c r="R18" s="14" t="str">
        <f>IF('Mode d''emploi'!$F$6&gt;=Population!R$2,ROUND(Q17*(1-Mortalité!Q18)+Migration!Q18*(1-(Mortalité!Q18/2)),0),"-")</f>
        <v>-</v>
      </c>
      <c r="S18" s="14" t="str">
        <f>IF('Mode d''emploi'!$F$6&gt;=Population!S$2,ROUND(R17*(1-Mortalité!R18)+Migration!R18*(1-(Mortalité!R18/2)),0),"-")</f>
        <v>-</v>
      </c>
      <c r="T18" s="14" t="str">
        <f>IF('Mode d''emploi'!$F$6&gt;=Population!T$2,ROUND(S17*(1-Mortalité!S18)+Migration!S18*(1-(Mortalité!S18/2)),0),"-")</f>
        <v>-</v>
      </c>
    </row>
    <row r="19" spans="2:20" x14ac:dyDescent="0.25">
      <c r="B19" s="5" t="s">
        <v>16</v>
      </c>
      <c r="C19" s="16">
        <v>86403</v>
      </c>
      <c r="D19" s="14" t="str">
        <f>IF('Mode d''emploi'!$F$6&gt;=Population!D$2,ROUND(C18*(1-Mortalité!C19)+Migration!C19*(1-(Mortalité!C19/2)),0),"-")</f>
        <v>-</v>
      </c>
      <c r="E19" s="14" t="str">
        <f>IF('Mode d''emploi'!$F$6&gt;=Population!E$2,ROUND(D18*(1-Mortalité!D19)+Migration!D19*(1-(Mortalité!D19/2)),0),"-")</f>
        <v>-</v>
      </c>
      <c r="F19" s="14" t="str">
        <f>IF('Mode d''emploi'!$F$6&gt;=Population!F$2,ROUND(E18*(1-Mortalité!E19)+Migration!E19*(1-(Mortalité!E19/2)),0),"-")</f>
        <v>-</v>
      </c>
      <c r="G19" s="14" t="str">
        <f>IF('Mode d''emploi'!$F$6&gt;=Population!G$2,ROUND(F18*(1-Mortalité!F19)+Migration!F19*(1-(Mortalité!F19/2)),0),"-")</f>
        <v>-</v>
      </c>
      <c r="H19" s="14" t="str">
        <f>IF('Mode d''emploi'!$F$6&gt;=Population!H$2,ROUND(G18*(1-Mortalité!G19)+Migration!G19*(1-(Mortalité!G19/2)),0),"-")</f>
        <v>-</v>
      </c>
      <c r="I19" s="14" t="str">
        <f>IF('Mode d''emploi'!$F$6&gt;=Population!I$2,ROUND(H18*(1-Mortalité!H19)+Migration!H19*(1-(Mortalité!H19/2)),0),"-")</f>
        <v>-</v>
      </c>
      <c r="J19" s="14" t="str">
        <f>IF('Mode d''emploi'!$F$6&gt;=Population!J$2,ROUND(I18*(1-Mortalité!I19)+Migration!I19*(1-(Mortalité!I19/2)),0),"-")</f>
        <v>-</v>
      </c>
      <c r="K19" s="14" t="str">
        <f>IF('Mode d''emploi'!$F$6&gt;=Population!K$2,ROUND(J18*(1-Mortalité!J19)+Migration!J19*(1-(Mortalité!J19/2)),0),"-")</f>
        <v>-</v>
      </c>
      <c r="L19" s="14" t="str">
        <f>IF('Mode d''emploi'!$F$6&gt;=Population!L$2,ROUND(K18*(1-Mortalité!K19)+Migration!K19*(1-(Mortalité!K19/2)),0),"-")</f>
        <v>-</v>
      </c>
      <c r="M19" s="14" t="str">
        <f>IF('Mode d''emploi'!$F$6&gt;=Population!M$2,ROUND(L18*(1-Mortalité!L19)+Migration!L19*(1-(Mortalité!L19/2)),0),"-")</f>
        <v>-</v>
      </c>
      <c r="N19" s="14" t="str">
        <f>IF('Mode d''emploi'!$F$6&gt;=Population!N$2,ROUND(M18*(1-Mortalité!M19)+Migration!M19*(1-(Mortalité!M19/2)),0),"-")</f>
        <v>-</v>
      </c>
      <c r="O19" s="14" t="str">
        <f>IF('Mode d''emploi'!$F$6&gt;=Population!O$2,ROUND(N18*(1-Mortalité!N19)+Migration!N19*(1-(Mortalité!N19/2)),0),"-")</f>
        <v>-</v>
      </c>
      <c r="P19" s="14" t="str">
        <f>IF('Mode d''emploi'!$F$6&gt;=Population!P$2,ROUND(O18*(1-Mortalité!O19)+Migration!O19*(1-(Mortalité!O19/2)),0),"-")</f>
        <v>-</v>
      </c>
      <c r="Q19" s="14" t="str">
        <f>IF('Mode d''emploi'!$F$6&gt;=Population!Q$2,ROUND(P18*(1-Mortalité!P19)+Migration!P19*(1-(Mortalité!P19/2)),0),"-")</f>
        <v>-</v>
      </c>
      <c r="R19" s="14" t="str">
        <f>IF('Mode d''emploi'!$F$6&gt;=Population!R$2,ROUND(Q18*(1-Mortalité!Q19)+Migration!Q19*(1-(Mortalité!Q19/2)),0),"-")</f>
        <v>-</v>
      </c>
      <c r="S19" s="14" t="str">
        <f>IF('Mode d''emploi'!$F$6&gt;=Population!S$2,ROUND(R18*(1-Mortalité!R19)+Migration!R19*(1-(Mortalité!R19/2)),0),"-")</f>
        <v>-</v>
      </c>
      <c r="T19" s="14" t="str">
        <f>IF('Mode d''emploi'!$F$6&gt;=Population!T$2,ROUND(S18*(1-Mortalité!S19)+Migration!S19*(1-(Mortalité!S19/2)),0),"-")</f>
        <v>-</v>
      </c>
    </row>
    <row r="20" spans="2:20" x14ac:dyDescent="0.25">
      <c r="B20" s="5" t="s">
        <v>17</v>
      </c>
      <c r="C20" s="16">
        <v>46832</v>
      </c>
      <c r="D20" s="14" t="str">
        <f>IF('Mode d''emploi'!$F$6&gt;=Population!D$2,ROUND(C19*(1-Mortalité!C20)+Migration!C20*(1-(Mortalité!C20/2)),0),"-")</f>
        <v>-</v>
      </c>
      <c r="E20" s="14" t="str">
        <f>IF('Mode d''emploi'!$F$6&gt;=Population!E$2,ROUND(D19*(1-Mortalité!D20)+Migration!D20*(1-(Mortalité!D20/2)),0),"-")</f>
        <v>-</v>
      </c>
      <c r="F20" s="14" t="str">
        <f>IF('Mode d''emploi'!$F$6&gt;=Population!F$2,ROUND(E19*(1-Mortalité!E20)+Migration!E20*(1-(Mortalité!E20/2)),0),"-")</f>
        <v>-</v>
      </c>
      <c r="G20" s="14" t="str">
        <f>IF('Mode d''emploi'!$F$6&gt;=Population!G$2,ROUND(F19*(1-Mortalité!F20)+Migration!F20*(1-(Mortalité!F20/2)),0),"-")</f>
        <v>-</v>
      </c>
      <c r="H20" s="14" t="str">
        <f>IF('Mode d''emploi'!$F$6&gt;=Population!H$2,ROUND(G19*(1-Mortalité!G20)+Migration!G20*(1-(Mortalité!G20/2)),0),"-")</f>
        <v>-</v>
      </c>
      <c r="I20" s="14" t="str">
        <f>IF('Mode d''emploi'!$F$6&gt;=Population!I$2,ROUND(H19*(1-Mortalité!H20)+Migration!H20*(1-(Mortalité!H20/2)),0),"-")</f>
        <v>-</v>
      </c>
      <c r="J20" s="14" t="str">
        <f>IF('Mode d''emploi'!$F$6&gt;=Population!J$2,ROUND(I19*(1-Mortalité!I20)+Migration!I20*(1-(Mortalité!I20/2)),0),"-")</f>
        <v>-</v>
      </c>
      <c r="K20" s="14" t="str">
        <f>IF('Mode d''emploi'!$F$6&gt;=Population!K$2,ROUND(J19*(1-Mortalité!J20)+Migration!J20*(1-(Mortalité!J20/2)),0),"-")</f>
        <v>-</v>
      </c>
      <c r="L20" s="14" t="str">
        <f>IF('Mode d''emploi'!$F$6&gt;=Population!L$2,ROUND(K19*(1-Mortalité!K20)+Migration!K20*(1-(Mortalité!K20/2)),0),"-")</f>
        <v>-</v>
      </c>
      <c r="M20" s="14" t="str">
        <f>IF('Mode d''emploi'!$F$6&gt;=Population!M$2,ROUND(L19*(1-Mortalité!L20)+Migration!L20*(1-(Mortalité!L20/2)),0),"-")</f>
        <v>-</v>
      </c>
      <c r="N20" s="14" t="str">
        <f>IF('Mode d''emploi'!$F$6&gt;=Population!N$2,ROUND(M19*(1-Mortalité!M20)+Migration!M20*(1-(Mortalité!M20/2)),0),"-")</f>
        <v>-</v>
      </c>
      <c r="O20" s="14" t="str">
        <f>IF('Mode d''emploi'!$F$6&gt;=Population!O$2,ROUND(N19*(1-Mortalité!N20)+Migration!N20*(1-(Mortalité!N20/2)),0),"-")</f>
        <v>-</v>
      </c>
      <c r="P20" s="14" t="str">
        <f>IF('Mode d''emploi'!$F$6&gt;=Population!P$2,ROUND(O19*(1-Mortalité!O20)+Migration!O20*(1-(Mortalité!O20/2)),0),"-")</f>
        <v>-</v>
      </c>
      <c r="Q20" s="14" t="str">
        <f>IF('Mode d''emploi'!$F$6&gt;=Population!Q$2,ROUND(P19*(1-Mortalité!P20)+Migration!P20*(1-(Mortalité!P20/2)),0),"-")</f>
        <v>-</v>
      </c>
      <c r="R20" s="14" t="str">
        <f>IF('Mode d''emploi'!$F$6&gt;=Population!R$2,ROUND(Q19*(1-Mortalité!Q20)+Migration!Q20*(1-(Mortalité!Q20/2)),0),"-")</f>
        <v>-</v>
      </c>
      <c r="S20" s="14" t="str">
        <f>IF('Mode d''emploi'!$F$6&gt;=Population!S$2,ROUND(R19*(1-Mortalité!R20)+Migration!R20*(1-(Mortalité!R20/2)),0),"-")</f>
        <v>-</v>
      </c>
      <c r="T20" s="14" t="str">
        <f>IF('Mode d''emploi'!$F$6&gt;=Population!T$2,ROUND(S19*(1-Mortalité!S20)+Migration!S20*(1-(Mortalité!S20/2)),0),"-")</f>
        <v>-</v>
      </c>
    </row>
    <row r="21" spans="2:20" x14ac:dyDescent="0.25">
      <c r="B21" s="5" t="s">
        <v>18</v>
      </c>
      <c r="C21" s="16">
        <v>16816</v>
      </c>
      <c r="D21" s="14" t="str">
        <f>IF('Mode d''emploi'!$F$6&gt;=Population!D$2,ROUND(C20*(1-Mortalité!C21)+Migration!C21*(1-(Mortalité!C21/2)),0),"-")</f>
        <v>-</v>
      </c>
      <c r="E21" s="14" t="str">
        <f>IF('Mode d''emploi'!$F$6&gt;=Population!E$2,ROUND(D20*(1-Mortalité!D21)+Migration!D21*(1-(Mortalité!D21/2)),0),"-")</f>
        <v>-</v>
      </c>
      <c r="F21" s="14" t="str">
        <f>IF('Mode d''emploi'!$F$6&gt;=Population!F$2,ROUND(E20*(1-Mortalité!E21)+Migration!E21*(1-(Mortalité!E21/2)),0),"-")</f>
        <v>-</v>
      </c>
      <c r="G21" s="14" t="str">
        <f>IF('Mode d''emploi'!$F$6&gt;=Population!G$2,ROUND(F20*(1-Mortalité!F21)+Migration!F21*(1-(Mortalité!F21/2)),0),"-")</f>
        <v>-</v>
      </c>
      <c r="H21" s="14" t="str">
        <f>IF('Mode d''emploi'!$F$6&gt;=Population!H$2,ROUND(G20*(1-Mortalité!G21)+Migration!G21*(1-(Mortalité!G21/2)),0),"-")</f>
        <v>-</v>
      </c>
      <c r="I21" s="14" t="str">
        <f>IF('Mode d''emploi'!$F$6&gt;=Population!I$2,ROUND(H20*(1-Mortalité!H21)+Migration!H21*(1-(Mortalité!H21/2)),0),"-")</f>
        <v>-</v>
      </c>
      <c r="J21" s="14" t="str">
        <f>IF('Mode d''emploi'!$F$6&gt;=Population!J$2,ROUND(I20*(1-Mortalité!I21)+Migration!I21*(1-(Mortalité!I21/2)),0),"-")</f>
        <v>-</v>
      </c>
      <c r="K21" s="14" t="str">
        <f>IF('Mode d''emploi'!$F$6&gt;=Population!K$2,ROUND(J20*(1-Mortalité!J21)+Migration!J21*(1-(Mortalité!J21/2)),0),"-")</f>
        <v>-</v>
      </c>
      <c r="L21" s="14" t="str">
        <f>IF('Mode d''emploi'!$F$6&gt;=Population!L$2,ROUND(K20*(1-Mortalité!K21)+Migration!K21*(1-(Mortalité!K21/2)),0),"-")</f>
        <v>-</v>
      </c>
      <c r="M21" s="14" t="str">
        <f>IF('Mode d''emploi'!$F$6&gt;=Population!M$2,ROUND(L20*(1-Mortalité!L21)+Migration!L21*(1-(Mortalité!L21/2)),0),"-")</f>
        <v>-</v>
      </c>
      <c r="N21" s="14" t="str">
        <f>IF('Mode d''emploi'!$F$6&gt;=Population!N$2,ROUND(M20*(1-Mortalité!M21)+Migration!M21*(1-(Mortalité!M21/2)),0),"-")</f>
        <v>-</v>
      </c>
      <c r="O21" s="14" t="str">
        <f>IF('Mode d''emploi'!$F$6&gt;=Population!O$2,ROUND(N20*(1-Mortalité!N21)+Migration!N21*(1-(Mortalité!N21/2)),0),"-")</f>
        <v>-</v>
      </c>
      <c r="P21" s="14" t="str">
        <f>IF('Mode d''emploi'!$F$6&gt;=Population!P$2,ROUND(O20*(1-Mortalité!O21)+Migration!O21*(1-(Mortalité!O21/2)),0),"-")</f>
        <v>-</v>
      </c>
      <c r="Q21" s="14" t="str">
        <f>IF('Mode d''emploi'!$F$6&gt;=Population!Q$2,ROUND(P20*(1-Mortalité!P21)+Migration!P21*(1-(Mortalité!P21/2)),0),"-")</f>
        <v>-</v>
      </c>
      <c r="R21" s="14" t="str">
        <f>IF('Mode d''emploi'!$F$6&gt;=Population!R$2,ROUND(Q20*(1-Mortalité!Q21)+Migration!Q21*(1-(Mortalité!Q21/2)),0),"-")</f>
        <v>-</v>
      </c>
      <c r="S21" s="14" t="str">
        <f>IF('Mode d''emploi'!$F$6&gt;=Population!S$2,ROUND(R20*(1-Mortalité!R21)+Migration!R21*(1-(Mortalité!R21/2)),0),"-")</f>
        <v>-</v>
      </c>
      <c r="T21" s="14" t="str">
        <f>IF('Mode d''emploi'!$F$6&gt;=Population!T$2,ROUND(S20*(1-Mortalité!S21)+Migration!S21*(1-(Mortalité!S21/2)),0),"-")</f>
        <v>-</v>
      </c>
    </row>
    <row r="22" spans="2:20" x14ac:dyDescent="0.25">
      <c r="B22" s="5" t="s">
        <v>19</v>
      </c>
      <c r="C22" s="16">
        <v>2836</v>
      </c>
      <c r="D22" s="14" t="str">
        <f>IF('Mode d''emploi'!$F$6&gt;=Population!D$2,ROUND(C21*(1-Mortalité!C22)+Migration!C22*(1-(Mortalité!C22/2)),0),"-")</f>
        <v>-</v>
      </c>
      <c r="E22" s="14" t="str">
        <f>IF('Mode d''emploi'!$F$6&gt;=Population!E$2,ROUND(D21*(1-Mortalité!D22)+Migration!D22*(1-(Mortalité!D22/2)),0),"-")</f>
        <v>-</v>
      </c>
      <c r="F22" s="14" t="str">
        <f>IF('Mode d''emploi'!$F$6&gt;=Population!F$2,ROUND(E21*(1-Mortalité!E22)+Migration!E22*(1-(Mortalité!E22/2)),0),"-")</f>
        <v>-</v>
      </c>
      <c r="G22" s="14" t="str">
        <f>IF('Mode d''emploi'!$F$6&gt;=Population!G$2,ROUND(F21*(1-Mortalité!F22)+Migration!F22*(1-(Mortalité!F22/2)),0),"-")</f>
        <v>-</v>
      </c>
      <c r="H22" s="14" t="str">
        <f>IF('Mode d''emploi'!$F$6&gt;=Population!H$2,ROUND(G21*(1-Mortalité!G22)+Migration!G22*(1-(Mortalité!G22/2)),0),"-")</f>
        <v>-</v>
      </c>
      <c r="I22" s="14" t="str">
        <f>IF('Mode d''emploi'!$F$6&gt;=Population!I$2,ROUND(H21*(1-Mortalité!H22)+Migration!H22*(1-(Mortalité!H22/2)),0),"-")</f>
        <v>-</v>
      </c>
      <c r="J22" s="14" t="str">
        <f>IF('Mode d''emploi'!$F$6&gt;=Population!J$2,ROUND(I21*(1-Mortalité!I22)+Migration!I22*(1-(Mortalité!I22/2)),0),"-")</f>
        <v>-</v>
      </c>
      <c r="K22" s="14" t="str">
        <f>IF('Mode d''emploi'!$F$6&gt;=Population!K$2,ROUND(J21*(1-Mortalité!J22)+Migration!J22*(1-(Mortalité!J22/2)),0),"-")</f>
        <v>-</v>
      </c>
      <c r="L22" s="14" t="str">
        <f>IF('Mode d''emploi'!$F$6&gt;=Population!L$2,ROUND(K21*(1-Mortalité!K22)+Migration!K22*(1-(Mortalité!K22/2)),0),"-")</f>
        <v>-</v>
      </c>
      <c r="M22" s="14" t="str">
        <f>IF('Mode d''emploi'!$F$6&gt;=Population!M$2,ROUND(L21*(1-Mortalité!L22)+Migration!L22*(1-(Mortalité!L22/2)),0),"-")</f>
        <v>-</v>
      </c>
      <c r="N22" s="14" t="str">
        <f>IF('Mode d''emploi'!$F$6&gt;=Population!N$2,ROUND(M21*(1-Mortalité!M22)+Migration!M22*(1-(Mortalité!M22/2)),0),"-")</f>
        <v>-</v>
      </c>
      <c r="O22" s="14" t="str">
        <f>IF('Mode d''emploi'!$F$6&gt;=Population!O$2,ROUND(N21*(1-Mortalité!N22)+Migration!N22*(1-(Mortalité!N22/2)),0),"-")</f>
        <v>-</v>
      </c>
      <c r="P22" s="14" t="str">
        <f>IF('Mode d''emploi'!$F$6&gt;=Population!P$2,ROUND(O21*(1-Mortalité!O22)+Migration!O22*(1-(Mortalité!O22/2)),0),"-")</f>
        <v>-</v>
      </c>
      <c r="Q22" s="14" t="str">
        <f>IF('Mode d''emploi'!$F$6&gt;=Population!Q$2,ROUND(P21*(1-Mortalité!P22)+Migration!P22*(1-(Mortalité!P22/2)),0),"-")</f>
        <v>-</v>
      </c>
      <c r="R22" s="14" t="str">
        <f>IF('Mode d''emploi'!$F$6&gt;=Population!R$2,ROUND(Q21*(1-Mortalité!Q22)+Migration!Q22*(1-(Mortalité!Q22/2)),0),"-")</f>
        <v>-</v>
      </c>
      <c r="S22" s="14" t="str">
        <f>IF('Mode d''emploi'!$F$6&gt;=Population!S$2,ROUND(R21*(1-Mortalité!R22)+Migration!R22*(1-(Mortalité!R22/2)),0),"-")</f>
        <v>-</v>
      </c>
      <c r="T22" s="14" t="str">
        <f>IF('Mode d''emploi'!$F$6&gt;=Population!T$2,ROUND(S21*(1-Mortalité!S22)+Migration!S22*(1-(Mortalité!S22/2)),0),"-")</f>
        <v>-</v>
      </c>
    </row>
    <row r="23" spans="2:20" ht="14.4" thickBot="1" x14ac:dyDescent="0.3">
      <c r="B23" s="6" t="s">
        <v>20</v>
      </c>
      <c r="C23" s="16">
        <v>290</v>
      </c>
      <c r="D23" s="14" t="str">
        <f>IF('Mode d''emploi'!$F$6&gt;=Population!D$2,ROUND((C22+C23)*(1-Mortalité!C23)+Migration!C23*(1-(Mortalité!C23/2)),0),"-")</f>
        <v>-</v>
      </c>
      <c r="E23" s="14" t="str">
        <f>IF('Mode d''emploi'!$F$6&gt;=Population!E$2,ROUND((D22+D23)*(1-Mortalité!D23)+Migration!D23*(1-(Mortalité!D23/2)),0),"-")</f>
        <v>-</v>
      </c>
      <c r="F23" s="14" t="str">
        <f>IF('Mode d''emploi'!$F$6&gt;=Population!F$2,ROUND((E22+E23)*(1-Mortalité!E23)+Migration!E23*(1-(Mortalité!E23/2)),0),"-")</f>
        <v>-</v>
      </c>
      <c r="G23" s="14" t="str">
        <f>IF('Mode d''emploi'!$F$6&gt;=Population!G$2,ROUND((F22+F23)*(1-Mortalité!F23)+Migration!F23*(1-(Mortalité!F23/2)),0),"-")</f>
        <v>-</v>
      </c>
      <c r="H23" s="14" t="str">
        <f>IF('Mode d''emploi'!$F$6&gt;=Population!H$2,ROUND((G22+G23)*(1-Mortalité!G23)+Migration!G23*(1-(Mortalité!G23/2)),0),"-")</f>
        <v>-</v>
      </c>
      <c r="I23" s="14" t="str">
        <f>IF('Mode d''emploi'!$F$6&gt;=Population!I$2,ROUND((H22+H23)*(1-Mortalité!H23)+Migration!H23*(1-(Mortalité!H23/2)),0),"-")</f>
        <v>-</v>
      </c>
      <c r="J23" s="14" t="str">
        <f>IF('Mode d''emploi'!$F$6&gt;=Population!J$2,ROUND((I22+I23)*(1-Mortalité!I23)+Migration!I23*(1-(Mortalité!I23/2)),0),"-")</f>
        <v>-</v>
      </c>
      <c r="K23" s="14" t="str">
        <f>IF('Mode d''emploi'!$F$6&gt;=Population!K$2,ROUND((J22+J23)*(1-Mortalité!J23)+Migration!J23*(1-(Mortalité!J23/2)),0),"-")</f>
        <v>-</v>
      </c>
      <c r="L23" s="14" t="str">
        <f>IF('Mode d''emploi'!$F$6&gt;=Population!L$2,ROUND((K22+K23)*(1-Mortalité!K23)+Migration!K23*(1-(Mortalité!K23/2)),0),"-")</f>
        <v>-</v>
      </c>
      <c r="M23" s="14" t="str">
        <f>IF('Mode d''emploi'!$F$6&gt;=Population!M$2,ROUND((L22+L23)*(1-Mortalité!L23)+Migration!L23*(1-(Mortalité!L23/2)),0),"-")</f>
        <v>-</v>
      </c>
      <c r="N23" s="14" t="str">
        <f>IF('Mode d''emploi'!$F$6&gt;=Population!N$2,ROUND((M22+M23)*(1-Mortalité!M23)+Migration!M23*(1-(Mortalité!M23/2)),0),"-")</f>
        <v>-</v>
      </c>
      <c r="O23" s="14" t="str">
        <f>IF('Mode d''emploi'!$F$6&gt;=Population!O$2,ROUND((N22+N23)*(1-Mortalité!N23)+Migration!N23*(1-(Mortalité!N23/2)),0),"-")</f>
        <v>-</v>
      </c>
      <c r="P23" s="14" t="str">
        <f>IF('Mode d''emploi'!$F$6&gt;=Population!P$2,ROUND((O22+O23)*(1-Mortalité!O23)+Migration!O23*(1-(Mortalité!O23/2)),0),"-")</f>
        <v>-</v>
      </c>
      <c r="Q23" s="14" t="str">
        <f>IF('Mode d''emploi'!$F$6&gt;=Population!Q$2,ROUND((P22+P23)*(1-Mortalité!P23)+Migration!P23*(1-(Mortalité!P23/2)),0),"-")</f>
        <v>-</v>
      </c>
      <c r="R23" s="14" t="str">
        <f>IF('Mode d''emploi'!$F$6&gt;=Population!R$2,ROUND((Q22+Q23)*(1-Mortalité!Q23)+Migration!Q23*(1-(Mortalité!Q23/2)),0),"-")</f>
        <v>-</v>
      </c>
      <c r="S23" s="14" t="str">
        <f>IF('Mode d''emploi'!$F$6&gt;=Population!S$2,ROUND((R22+R23)*(1-Mortalité!R23)+Migration!R23*(1-(Mortalité!R23/2)),0),"-")</f>
        <v>-</v>
      </c>
      <c r="T23" s="14" t="str">
        <f>IF('Mode d''emploi'!$F$6&gt;=Population!T$2,ROUND((S22+S23)*(1-Mortalité!S23)+Migration!S23*(1-(Mortalité!S23/2)),0),"-")</f>
        <v>-</v>
      </c>
    </row>
    <row r="24" spans="2:20" ht="14.4" thickBot="1" x14ac:dyDescent="0.3"/>
    <row r="25" spans="2:20" ht="14.4" thickBot="1" x14ac:dyDescent="0.3">
      <c r="B25" t="s">
        <v>22</v>
      </c>
      <c r="C25" s="9">
        <v>2015</v>
      </c>
      <c r="D25" s="2">
        <v>2020</v>
      </c>
      <c r="E25" s="2">
        <v>2025</v>
      </c>
      <c r="F25" s="2">
        <v>2030</v>
      </c>
      <c r="G25" s="2">
        <v>2035</v>
      </c>
      <c r="H25" s="2">
        <v>2040</v>
      </c>
      <c r="I25" s="2">
        <v>2045</v>
      </c>
      <c r="J25" s="2">
        <v>2050</v>
      </c>
      <c r="K25" s="2">
        <v>2055</v>
      </c>
      <c r="L25" s="2">
        <v>2060</v>
      </c>
      <c r="M25" s="2">
        <v>2065</v>
      </c>
      <c r="N25" s="2">
        <v>2070</v>
      </c>
      <c r="O25" s="2">
        <v>2075</v>
      </c>
      <c r="P25" s="2">
        <v>2080</v>
      </c>
      <c r="Q25" s="2">
        <v>2085</v>
      </c>
      <c r="R25" s="2">
        <v>2090</v>
      </c>
      <c r="S25" s="2">
        <v>2095</v>
      </c>
      <c r="T25" s="3">
        <v>2100</v>
      </c>
    </row>
    <row r="26" spans="2:20" x14ac:dyDescent="0.25">
      <c r="B26" s="11" t="s">
        <v>7</v>
      </c>
      <c r="C26" s="16">
        <v>205374</v>
      </c>
      <c r="D26" s="14" t="str">
        <f>IF('Mode d''emploi'!$F$6&gt;=Population!D$25,ROUND((100/205)*(Fécondité!C22*(1-Mortalité!C26)+Migration!C26*(1-((2/3)*Mortalité!C26))),0),"-")</f>
        <v>-</v>
      </c>
      <c r="E26" s="14" t="str">
        <f>IF('Mode d''emploi'!$F$6&gt;=Population!E$25,ROUND((100/205)*(Fécondité!D22*(1-Mortalité!D26)+Migration!D26*(1-((2/3)*Mortalité!D26))),0),"-")</f>
        <v>-</v>
      </c>
      <c r="F26" s="14" t="str">
        <f>IF('Mode d''emploi'!$F$6&gt;=Population!F$25,ROUND((100/205)*(Fécondité!E22*(1-Mortalité!E26)+Migration!E26*(1-((2/3)*Mortalité!E26))),0),"-")</f>
        <v>-</v>
      </c>
      <c r="G26" s="14" t="str">
        <f>IF('Mode d''emploi'!$F$6&gt;=Population!G$25,ROUND((100/205)*(Fécondité!F22*(1-Mortalité!F26)+Migration!F26*(1-((2/3)*Mortalité!F26))),0),"-")</f>
        <v>-</v>
      </c>
      <c r="H26" s="14" t="str">
        <f>IF('Mode d''emploi'!$F$6&gt;=Population!H$25,ROUND((100/205)*(Fécondité!G22*(1-Mortalité!G26)+Migration!G26*(1-((2/3)*Mortalité!G26))),0),"-")</f>
        <v>-</v>
      </c>
      <c r="I26" s="14" t="str">
        <f>IF('Mode d''emploi'!$F$6&gt;=Population!I$25,ROUND((100/205)*(Fécondité!H22*(1-Mortalité!H26)+Migration!H26*(1-((2/3)*Mortalité!H26))),0),"-")</f>
        <v>-</v>
      </c>
      <c r="J26" s="14" t="str">
        <f>IF('Mode d''emploi'!$F$6&gt;=Population!J$25,ROUND((100/205)*(Fécondité!I22*(1-Mortalité!I26)+Migration!I26*(1-((2/3)*Mortalité!I26))),0),"-")</f>
        <v>-</v>
      </c>
      <c r="K26" s="14" t="str">
        <f>IF('Mode d''emploi'!$F$6&gt;=Population!K$25,ROUND((100/205)*(Fécondité!J22*(1-Mortalité!J26)+Migration!J26*(1-((2/3)*Mortalité!J26))),0),"-")</f>
        <v>-</v>
      </c>
      <c r="L26" s="14" t="str">
        <f>IF('Mode d''emploi'!$F$6&gt;=Population!L$25,ROUND((100/205)*(Fécondité!K22*(1-Mortalité!K26)+Migration!K26*(1-((2/3)*Mortalité!K26))),0),"-")</f>
        <v>-</v>
      </c>
      <c r="M26" s="14" t="str">
        <f>IF('Mode d''emploi'!$F$6&gt;=Population!M$25,ROUND((100/205)*(Fécondité!L22*(1-Mortalité!L26)+Migration!L26*(1-((2/3)*Mortalité!L26))),0),"-")</f>
        <v>-</v>
      </c>
      <c r="N26" s="14" t="str">
        <f>IF('Mode d''emploi'!$F$6&gt;=Population!N$25,ROUND((100/205)*(Fécondité!M22*(1-Mortalité!M26)+Migration!M26*(1-((2/3)*Mortalité!M26))),0),"-")</f>
        <v>-</v>
      </c>
      <c r="O26" s="14" t="str">
        <f>IF('Mode d''emploi'!$F$6&gt;=Population!O$25,ROUND((100/205)*(Fécondité!N22*(1-Mortalité!N26)+Migration!N26*(1-((2/3)*Mortalité!N26))),0),"-")</f>
        <v>-</v>
      </c>
      <c r="P26" s="14" t="str">
        <f>IF('Mode d''emploi'!$F$6&gt;=Population!P$25,ROUND((100/205)*(Fécondité!O22*(1-Mortalité!O26)+Migration!O26*(1-((2/3)*Mortalité!O26))),0),"-")</f>
        <v>-</v>
      </c>
      <c r="Q26" s="14" t="str">
        <f>IF('Mode d''emploi'!$F$6&gt;=Population!Q$25,ROUND((100/205)*(Fécondité!P22*(1-Mortalité!P26)+Migration!P26*(1-((2/3)*Mortalité!P26))),0),"-")</f>
        <v>-</v>
      </c>
      <c r="R26" s="14" t="str">
        <f>IF('Mode d''emploi'!$F$6&gt;=Population!R$25,ROUND((100/205)*(Fécondité!Q22*(1-Mortalité!Q26)+Migration!Q26*(1-((2/3)*Mortalité!Q26))),0),"-")</f>
        <v>-</v>
      </c>
      <c r="S26" s="14" t="str">
        <f>IF('Mode d''emploi'!$F$6&gt;=Population!S$25,ROUND((100/205)*(Fécondité!R22*(1-Mortalité!R26)+Migration!R26*(1-((2/3)*Mortalité!R26))),0),"-")</f>
        <v>-</v>
      </c>
      <c r="T26" s="14" t="str">
        <f>IF('Mode d''emploi'!$F$6&gt;=Population!T$25,ROUND((100/205)*(Fécondité!S22*(1-Mortalité!S26)+Migration!S26*(1-((2/3)*Mortalité!S26))),0),"-")</f>
        <v>-</v>
      </c>
    </row>
    <row r="27" spans="2:20" x14ac:dyDescent="0.25">
      <c r="B27" s="12" t="s">
        <v>8</v>
      </c>
      <c r="C27" s="16">
        <v>201038</v>
      </c>
      <c r="D27" s="14" t="str">
        <f>IF('Mode d''emploi'!$F$6&gt;=Population!D$25,ROUND(C26*(1-Mortalité!C27)+Migration!C27*(1-(Mortalité!C27/2)),0),"-")</f>
        <v>-</v>
      </c>
      <c r="E27" s="14" t="str">
        <f>IF('Mode d''emploi'!$F$6&gt;=Population!E$25,ROUND(D26*(1-Mortalité!D27)+Migration!D27*(1-(Mortalité!D27/2)),0),"-")</f>
        <v>-</v>
      </c>
      <c r="F27" s="14" t="str">
        <f>IF('Mode d''emploi'!$F$6&gt;=Population!F$25,ROUND(E26*(1-Mortalité!E27)+Migration!E27*(1-(Mortalité!E27/2)),0),"-")</f>
        <v>-</v>
      </c>
      <c r="G27" s="14" t="str">
        <f>IF('Mode d''emploi'!$F$6&gt;=Population!G$25,ROUND(F26*(1-Mortalité!F27)+Migration!F27*(1-(Mortalité!F27/2)),0),"-")</f>
        <v>-</v>
      </c>
      <c r="H27" s="14" t="str">
        <f>IF('Mode d''emploi'!$F$6&gt;=Population!H$25,ROUND(G26*(1-Mortalité!G27)+Migration!G27*(1-(Mortalité!G27/2)),0),"-")</f>
        <v>-</v>
      </c>
      <c r="I27" s="14" t="str">
        <f>IF('Mode d''emploi'!$F$6&gt;=Population!I$25,ROUND(H26*(1-Mortalité!H27)+Migration!H27*(1-(Mortalité!H27/2)),0),"-")</f>
        <v>-</v>
      </c>
      <c r="J27" s="14" t="str">
        <f>IF('Mode d''emploi'!$F$6&gt;=Population!J$25,ROUND(I26*(1-Mortalité!I27)+Migration!I27*(1-(Mortalité!I27/2)),0),"-")</f>
        <v>-</v>
      </c>
      <c r="K27" s="14" t="str">
        <f>IF('Mode d''emploi'!$F$6&gt;=Population!K$25,ROUND(J26*(1-Mortalité!J27)+Migration!J27*(1-(Mortalité!J27/2)),0),"-")</f>
        <v>-</v>
      </c>
      <c r="L27" s="14" t="str">
        <f>IF('Mode d''emploi'!$F$6&gt;=Population!L$25,ROUND(K26*(1-Mortalité!K27)+Migration!K27*(1-(Mortalité!K27/2)),0),"-")</f>
        <v>-</v>
      </c>
      <c r="M27" s="14" t="str">
        <f>IF('Mode d''emploi'!$F$6&gt;=Population!M$25,ROUND(L26*(1-Mortalité!L27)+Migration!L27*(1-(Mortalité!L27/2)),0),"-")</f>
        <v>-</v>
      </c>
      <c r="N27" s="14" t="str">
        <f>IF('Mode d''emploi'!$F$6&gt;=Population!N$25,ROUND(M26*(1-Mortalité!M27)+Migration!M27*(1-(Mortalité!M27/2)),0),"-")</f>
        <v>-</v>
      </c>
      <c r="O27" s="14" t="str">
        <f>IF('Mode d''emploi'!$F$6&gt;=Population!O$25,ROUND(N26*(1-Mortalité!N27)+Migration!N27*(1-(Mortalité!N27/2)),0),"-")</f>
        <v>-</v>
      </c>
      <c r="P27" s="14" t="str">
        <f>IF('Mode d''emploi'!$F$6&gt;=Population!P$25,ROUND(O26*(1-Mortalité!O27)+Migration!O27*(1-(Mortalité!O27/2)),0),"-")</f>
        <v>-</v>
      </c>
      <c r="Q27" s="14" t="str">
        <f>IF('Mode d''emploi'!$F$6&gt;=Population!Q$25,ROUND(P26*(1-Mortalité!P27)+Migration!P27*(1-(Mortalité!P27/2)),0),"-")</f>
        <v>-</v>
      </c>
      <c r="R27" s="14" t="str">
        <f>IF('Mode d''emploi'!$F$6&gt;=Population!R$25,ROUND(Q26*(1-Mortalité!Q27)+Migration!Q27*(1-(Mortalité!Q27/2)),0),"-")</f>
        <v>-</v>
      </c>
      <c r="S27" s="14" t="str">
        <f>IF('Mode d''emploi'!$F$6&gt;=Population!S$25,ROUND(R26*(1-Mortalité!R27)+Migration!R27*(1-(Mortalité!R27/2)),0),"-")</f>
        <v>-</v>
      </c>
      <c r="T27" s="14" t="str">
        <f>IF('Mode d''emploi'!$F$6&gt;=Population!T$25,ROUND(S26*(1-Mortalité!S27)+Migration!S27*(1-(Mortalité!S27/2)),0),"-")</f>
        <v>-</v>
      </c>
    </row>
    <row r="28" spans="2:20" x14ac:dyDescent="0.25">
      <c r="B28" s="13" t="s">
        <v>9</v>
      </c>
      <c r="C28" s="16">
        <v>195132</v>
      </c>
      <c r="D28" s="14" t="str">
        <f>IF('Mode d''emploi'!$F$6&gt;=Population!D$25,ROUND(C27*(1-Mortalité!C28)+Migration!C28*(1-(Mortalité!C28/2)),0),"-")</f>
        <v>-</v>
      </c>
      <c r="E28" s="14" t="str">
        <f>IF('Mode d''emploi'!$F$6&gt;=Population!E$25,ROUND(D27*(1-Mortalité!D28)+Migration!D28*(1-(Mortalité!D28/2)),0),"-")</f>
        <v>-</v>
      </c>
      <c r="F28" s="14" t="str">
        <f>IF('Mode d''emploi'!$F$6&gt;=Population!F$25,ROUND(E27*(1-Mortalité!E28)+Migration!E28*(1-(Mortalité!E28/2)),0),"-")</f>
        <v>-</v>
      </c>
      <c r="G28" s="14" t="str">
        <f>IF('Mode d''emploi'!$F$6&gt;=Population!G$25,ROUND(F27*(1-Mortalité!F28)+Migration!F28*(1-(Mortalité!F28/2)),0),"-")</f>
        <v>-</v>
      </c>
      <c r="H28" s="14" t="str">
        <f>IF('Mode d''emploi'!$F$6&gt;=Population!H$25,ROUND(G27*(1-Mortalité!G28)+Migration!G28*(1-(Mortalité!G28/2)),0),"-")</f>
        <v>-</v>
      </c>
      <c r="I28" s="14" t="str">
        <f>IF('Mode d''emploi'!$F$6&gt;=Population!I$25,ROUND(H27*(1-Mortalité!H28)+Migration!H28*(1-(Mortalité!H28/2)),0),"-")</f>
        <v>-</v>
      </c>
      <c r="J28" s="14" t="str">
        <f>IF('Mode d''emploi'!$F$6&gt;=Population!J$25,ROUND(I27*(1-Mortalité!I28)+Migration!I28*(1-(Mortalité!I28/2)),0),"-")</f>
        <v>-</v>
      </c>
      <c r="K28" s="14" t="str">
        <f>IF('Mode d''emploi'!$F$6&gt;=Population!K$25,ROUND(J27*(1-Mortalité!J28)+Migration!J28*(1-(Mortalité!J28/2)),0),"-")</f>
        <v>-</v>
      </c>
      <c r="L28" s="14" t="str">
        <f>IF('Mode d''emploi'!$F$6&gt;=Population!L$25,ROUND(K27*(1-Mortalité!K28)+Migration!K28*(1-(Mortalité!K28/2)),0),"-")</f>
        <v>-</v>
      </c>
      <c r="M28" s="14" t="str">
        <f>IF('Mode d''emploi'!$F$6&gt;=Population!M$25,ROUND(L27*(1-Mortalité!L28)+Migration!L28*(1-(Mortalité!L28/2)),0),"-")</f>
        <v>-</v>
      </c>
      <c r="N28" s="14" t="str">
        <f>IF('Mode d''emploi'!$F$6&gt;=Population!N$25,ROUND(M27*(1-Mortalité!M28)+Migration!M28*(1-(Mortalité!M28/2)),0),"-")</f>
        <v>-</v>
      </c>
      <c r="O28" s="14" t="str">
        <f>IF('Mode d''emploi'!$F$6&gt;=Population!O$25,ROUND(N27*(1-Mortalité!N28)+Migration!N28*(1-(Mortalité!N28/2)),0),"-")</f>
        <v>-</v>
      </c>
      <c r="P28" s="14" t="str">
        <f>IF('Mode d''emploi'!$F$6&gt;=Population!P$25,ROUND(O27*(1-Mortalité!O28)+Migration!O28*(1-(Mortalité!O28/2)),0),"-")</f>
        <v>-</v>
      </c>
      <c r="Q28" s="14" t="str">
        <f>IF('Mode d''emploi'!$F$6&gt;=Population!Q$25,ROUND(P27*(1-Mortalité!P28)+Migration!P28*(1-(Mortalité!P28/2)),0),"-")</f>
        <v>-</v>
      </c>
      <c r="R28" s="14" t="str">
        <f>IF('Mode d''emploi'!$F$6&gt;=Population!R$25,ROUND(Q27*(1-Mortalité!Q28)+Migration!Q28*(1-(Mortalité!Q28/2)),0),"-")</f>
        <v>-</v>
      </c>
      <c r="S28" s="14" t="str">
        <f>IF('Mode d''emploi'!$F$6&gt;=Population!S$25,ROUND(R27*(1-Mortalité!R28)+Migration!R28*(1-(Mortalité!R28/2)),0),"-")</f>
        <v>-</v>
      </c>
      <c r="T28" s="14" t="str">
        <f>IF('Mode d''emploi'!$F$6&gt;=Population!T$25,ROUND(S27*(1-Mortalité!S28)+Migration!S28*(1-(Mortalité!S28/2)),0),"-")</f>
        <v>-</v>
      </c>
    </row>
    <row r="29" spans="2:20" x14ac:dyDescent="0.25">
      <c r="B29" s="5" t="s">
        <v>0</v>
      </c>
      <c r="C29" s="16">
        <v>213255</v>
      </c>
      <c r="D29" s="14" t="str">
        <f>IF('Mode d''emploi'!$F$6&gt;=Population!D$25,ROUND(C28*(1-Mortalité!C29)+Migration!C29*(1-(Mortalité!C29/2)),0),"-")</f>
        <v>-</v>
      </c>
      <c r="E29" s="14" t="str">
        <f>IF('Mode d''emploi'!$F$6&gt;=Population!E$25,ROUND(D28*(1-Mortalité!D29)+Migration!D29*(1-(Mortalité!D29/2)),0),"-")</f>
        <v>-</v>
      </c>
      <c r="F29" s="14" t="str">
        <f>IF('Mode d''emploi'!$F$6&gt;=Population!F$25,ROUND(E28*(1-Mortalité!E29)+Migration!E29*(1-(Mortalité!E29/2)),0),"-")</f>
        <v>-</v>
      </c>
      <c r="G29" s="14" t="str">
        <f>IF('Mode d''emploi'!$F$6&gt;=Population!G$25,ROUND(F28*(1-Mortalité!F29)+Migration!F29*(1-(Mortalité!F29/2)),0),"-")</f>
        <v>-</v>
      </c>
      <c r="H29" s="14" t="str">
        <f>IF('Mode d''emploi'!$F$6&gt;=Population!H$25,ROUND(G28*(1-Mortalité!G29)+Migration!G29*(1-(Mortalité!G29/2)),0),"-")</f>
        <v>-</v>
      </c>
      <c r="I29" s="14" t="str">
        <f>IF('Mode d''emploi'!$F$6&gt;=Population!I$25,ROUND(H28*(1-Mortalité!H29)+Migration!H29*(1-(Mortalité!H29/2)),0),"-")</f>
        <v>-</v>
      </c>
      <c r="J29" s="14" t="str">
        <f>IF('Mode d''emploi'!$F$6&gt;=Population!J$25,ROUND(I28*(1-Mortalité!I29)+Migration!I29*(1-(Mortalité!I29/2)),0),"-")</f>
        <v>-</v>
      </c>
      <c r="K29" s="14" t="str">
        <f>IF('Mode d''emploi'!$F$6&gt;=Population!K$25,ROUND(J28*(1-Mortalité!J29)+Migration!J29*(1-(Mortalité!J29/2)),0),"-")</f>
        <v>-</v>
      </c>
      <c r="L29" s="14" t="str">
        <f>IF('Mode d''emploi'!$F$6&gt;=Population!L$25,ROUND(K28*(1-Mortalité!K29)+Migration!K29*(1-(Mortalité!K29/2)),0),"-")</f>
        <v>-</v>
      </c>
      <c r="M29" s="14" t="str">
        <f>IF('Mode d''emploi'!$F$6&gt;=Population!M$25,ROUND(L28*(1-Mortalité!L29)+Migration!L29*(1-(Mortalité!L29/2)),0),"-")</f>
        <v>-</v>
      </c>
      <c r="N29" s="14" t="str">
        <f>IF('Mode d''emploi'!$F$6&gt;=Population!N$25,ROUND(M28*(1-Mortalité!M29)+Migration!M29*(1-(Mortalité!M29/2)),0),"-")</f>
        <v>-</v>
      </c>
      <c r="O29" s="14" t="str">
        <f>IF('Mode d''emploi'!$F$6&gt;=Population!O$25,ROUND(N28*(1-Mortalité!N29)+Migration!N29*(1-(Mortalité!N29/2)),0),"-")</f>
        <v>-</v>
      </c>
      <c r="P29" s="14" t="str">
        <f>IF('Mode d''emploi'!$F$6&gt;=Population!P$25,ROUND(O28*(1-Mortalité!O29)+Migration!O29*(1-(Mortalité!O29/2)),0),"-")</f>
        <v>-</v>
      </c>
      <c r="Q29" s="14" t="str">
        <f>IF('Mode d''emploi'!$F$6&gt;=Population!Q$25,ROUND(P28*(1-Mortalité!P29)+Migration!P29*(1-(Mortalité!P29/2)),0),"-")</f>
        <v>-</v>
      </c>
      <c r="R29" s="14" t="str">
        <f>IF('Mode d''emploi'!$F$6&gt;=Population!R$25,ROUND(Q28*(1-Mortalité!Q29)+Migration!Q29*(1-(Mortalité!Q29/2)),0),"-")</f>
        <v>-</v>
      </c>
      <c r="S29" s="14" t="str">
        <f>IF('Mode d''emploi'!$F$6&gt;=Population!S$25,ROUND(R28*(1-Mortalité!R29)+Migration!R29*(1-(Mortalité!R29/2)),0),"-")</f>
        <v>-</v>
      </c>
      <c r="T29" s="14" t="str">
        <f>IF('Mode d''emploi'!$F$6&gt;=Population!T$25,ROUND(S28*(1-Mortalité!S29)+Migration!S29*(1-(Mortalité!S29/2)),0),"-")</f>
        <v>-</v>
      </c>
    </row>
    <row r="30" spans="2:20" x14ac:dyDescent="0.25">
      <c r="B30" s="5" t="s">
        <v>1</v>
      </c>
      <c r="C30" s="16">
        <v>243351</v>
      </c>
      <c r="D30" s="14" t="str">
        <f>IF('Mode d''emploi'!$F$6&gt;=Population!D$25,ROUND(C29*(1-Mortalité!C30)+Migration!C30*(1-(Mortalité!C30/2)),0),"-")</f>
        <v>-</v>
      </c>
      <c r="E30" s="14" t="str">
        <f>IF('Mode d''emploi'!$F$6&gt;=Population!E$25,ROUND(D29*(1-Mortalité!D30)+Migration!D30*(1-(Mortalité!D30/2)),0),"-")</f>
        <v>-</v>
      </c>
      <c r="F30" s="14" t="str">
        <f>IF('Mode d''emploi'!$F$6&gt;=Population!F$25,ROUND(E29*(1-Mortalité!E30)+Migration!E30*(1-(Mortalité!E30/2)),0),"-")</f>
        <v>-</v>
      </c>
      <c r="G30" s="14" t="str">
        <f>IF('Mode d''emploi'!$F$6&gt;=Population!G$25,ROUND(F29*(1-Mortalité!F30)+Migration!F30*(1-(Mortalité!F30/2)),0),"-")</f>
        <v>-</v>
      </c>
      <c r="H30" s="14" t="str">
        <f>IF('Mode d''emploi'!$F$6&gt;=Population!H$25,ROUND(G29*(1-Mortalité!G30)+Migration!G30*(1-(Mortalité!G30/2)),0),"-")</f>
        <v>-</v>
      </c>
      <c r="I30" s="14" t="str">
        <f>IF('Mode d''emploi'!$F$6&gt;=Population!I$25,ROUND(H29*(1-Mortalité!H30)+Migration!H30*(1-(Mortalité!H30/2)),0),"-")</f>
        <v>-</v>
      </c>
      <c r="J30" s="14" t="str">
        <f>IF('Mode d''emploi'!$F$6&gt;=Population!J$25,ROUND(I29*(1-Mortalité!I30)+Migration!I30*(1-(Mortalité!I30/2)),0),"-")</f>
        <v>-</v>
      </c>
      <c r="K30" s="14" t="str">
        <f>IF('Mode d''emploi'!$F$6&gt;=Population!K$25,ROUND(J29*(1-Mortalité!J30)+Migration!J30*(1-(Mortalité!J30/2)),0),"-")</f>
        <v>-</v>
      </c>
      <c r="L30" s="14" t="str">
        <f>IF('Mode d''emploi'!$F$6&gt;=Population!L$25,ROUND(K29*(1-Mortalité!K30)+Migration!K30*(1-(Mortalité!K30/2)),0),"-")</f>
        <v>-</v>
      </c>
      <c r="M30" s="14" t="str">
        <f>IF('Mode d''emploi'!$F$6&gt;=Population!M$25,ROUND(L29*(1-Mortalité!L30)+Migration!L30*(1-(Mortalité!L30/2)),0),"-")</f>
        <v>-</v>
      </c>
      <c r="N30" s="14" t="str">
        <f>IF('Mode d''emploi'!$F$6&gt;=Population!N$25,ROUND(M29*(1-Mortalité!M30)+Migration!M30*(1-(Mortalité!M30/2)),0),"-")</f>
        <v>-</v>
      </c>
      <c r="O30" s="14" t="str">
        <f>IF('Mode d''emploi'!$F$6&gt;=Population!O$25,ROUND(N29*(1-Mortalité!N30)+Migration!N30*(1-(Mortalité!N30/2)),0),"-")</f>
        <v>-</v>
      </c>
      <c r="P30" s="14" t="str">
        <f>IF('Mode d''emploi'!$F$6&gt;=Population!P$25,ROUND(O29*(1-Mortalité!O30)+Migration!O30*(1-(Mortalité!O30/2)),0),"-")</f>
        <v>-</v>
      </c>
      <c r="Q30" s="14" t="str">
        <f>IF('Mode d''emploi'!$F$6&gt;=Population!Q$25,ROUND(P29*(1-Mortalité!P30)+Migration!P30*(1-(Mortalité!P30/2)),0),"-")</f>
        <v>-</v>
      </c>
      <c r="R30" s="14" t="str">
        <f>IF('Mode d''emploi'!$F$6&gt;=Population!R$25,ROUND(Q29*(1-Mortalité!Q30)+Migration!Q30*(1-(Mortalité!Q30/2)),0),"-")</f>
        <v>-</v>
      </c>
      <c r="S30" s="14" t="str">
        <f>IF('Mode d''emploi'!$F$6&gt;=Population!S$25,ROUND(R29*(1-Mortalité!R30)+Migration!R30*(1-(Mortalité!R30/2)),0),"-")</f>
        <v>-</v>
      </c>
      <c r="T30" s="14" t="str">
        <f>IF('Mode d''emploi'!$F$6&gt;=Population!T$25,ROUND(S29*(1-Mortalité!S30)+Migration!S30*(1-(Mortalité!S30/2)),0),"-")</f>
        <v>-</v>
      </c>
    </row>
    <row r="31" spans="2:20" x14ac:dyDescent="0.25">
      <c r="B31" s="5" t="s">
        <v>2</v>
      </c>
      <c r="C31" s="16">
        <v>277273</v>
      </c>
      <c r="D31" s="14" t="str">
        <f>IF('Mode d''emploi'!$F$6&gt;=Population!D$25,ROUND(C30*(1-Mortalité!C31)+Migration!C31*(1-(Mortalité!C31/2)),0),"-")</f>
        <v>-</v>
      </c>
      <c r="E31" s="14" t="str">
        <f>IF('Mode d''emploi'!$F$6&gt;=Population!E$25,ROUND(D30*(1-Mortalité!D31)+Migration!D31*(1-(Mortalité!D31/2)),0),"-")</f>
        <v>-</v>
      </c>
      <c r="F31" s="14" t="str">
        <f>IF('Mode d''emploi'!$F$6&gt;=Population!F$25,ROUND(E30*(1-Mortalité!E31)+Migration!E31*(1-(Mortalité!E31/2)),0),"-")</f>
        <v>-</v>
      </c>
      <c r="G31" s="14" t="str">
        <f>IF('Mode d''emploi'!$F$6&gt;=Population!G$25,ROUND(F30*(1-Mortalité!F31)+Migration!F31*(1-(Mortalité!F31/2)),0),"-")</f>
        <v>-</v>
      </c>
      <c r="H31" s="14" t="str">
        <f>IF('Mode d''emploi'!$F$6&gt;=Population!H$25,ROUND(G30*(1-Mortalité!G31)+Migration!G31*(1-(Mortalité!G31/2)),0),"-")</f>
        <v>-</v>
      </c>
      <c r="I31" s="14" t="str">
        <f>IF('Mode d''emploi'!$F$6&gt;=Population!I$25,ROUND(H30*(1-Mortalité!H31)+Migration!H31*(1-(Mortalité!H31/2)),0),"-")</f>
        <v>-</v>
      </c>
      <c r="J31" s="14" t="str">
        <f>IF('Mode d''emploi'!$F$6&gt;=Population!J$25,ROUND(I30*(1-Mortalité!I31)+Migration!I31*(1-(Mortalité!I31/2)),0),"-")</f>
        <v>-</v>
      </c>
      <c r="K31" s="14" t="str">
        <f>IF('Mode d''emploi'!$F$6&gt;=Population!K$25,ROUND(J30*(1-Mortalité!J31)+Migration!J31*(1-(Mortalité!J31/2)),0),"-")</f>
        <v>-</v>
      </c>
      <c r="L31" s="14" t="str">
        <f>IF('Mode d''emploi'!$F$6&gt;=Population!L$25,ROUND(K30*(1-Mortalité!K31)+Migration!K31*(1-(Mortalité!K31/2)),0),"-")</f>
        <v>-</v>
      </c>
      <c r="M31" s="14" t="str">
        <f>IF('Mode d''emploi'!$F$6&gt;=Population!M$25,ROUND(L30*(1-Mortalité!L31)+Migration!L31*(1-(Mortalité!L31/2)),0),"-")</f>
        <v>-</v>
      </c>
      <c r="N31" s="14" t="str">
        <f>IF('Mode d''emploi'!$F$6&gt;=Population!N$25,ROUND(M30*(1-Mortalité!M31)+Migration!M31*(1-(Mortalité!M31/2)),0),"-")</f>
        <v>-</v>
      </c>
      <c r="O31" s="14" t="str">
        <f>IF('Mode d''emploi'!$F$6&gt;=Population!O$25,ROUND(N30*(1-Mortalité!N31)+Migration!N31*(1-(Mortalité!N31/2)),0),"-")</f>
        <v>-</v>
      </c>
      <c r="P31" s="14" t="str">
        <f>IF('Mode d''emploi'!$F$6&gt;=Population!P$25,ROUND(O30*(1-Mortalité!O31)+Migration!O31*(1-(Mortalité!O31/2)),0),"-")</f>
        <v>-</v>
      </c>
      <c r="Q31" s="14" t="str">
        <f>IF('Mode d''emploi'!$F$6&gt;=Population!Q$25,ROUND(P30*(1-Mortalité!P31)+Migration!P31*(1-(Mortalité!P31/2)),0),"-")</f>
        <v>-</v>
      </c>
      <c r="R31" s="14" t="str">
        <f>IF('Mode d''emploi'!$F$6&gt;=Population!R$25,ROUND(Q30*(1-Mortalité!Q31)+Migration!Q31*(1-(Mortalité!Q31/2)),0),"-")</f>
        <v>-</v>
      </c>
      <c r="S31" s="14" t="str">
        <f>IF('Mode d''emploi'!$F$6&gt;=Population!S$25,ROUND(R30*(1-Mortalité!R31)+Migration!R31*(1-(Mortalité!R31/2)),0),"-")</f>
        <v>-</v>
      </c>
      <c r="T31" s="14" t="str">
        <f>IF('Mode d''emploi'!$F$6&gt;=Population!T$25,ROUND(S30*(1-Mortalité!S31)+Migration!S31*(1-(Mortalité!S31/2)),0),"-")</f>
        <v>-</v>
      </c>
    </row>
    <row r="32" spans="2:20" x14ac:dyDescent="0.25">
      <c r="B32" s="5" t="s">
        <v>3</v>
      </c>
      <c r="C32" s="16">
        <v>291671</v>
      </c>
      <c r="D32" s="14" t="str">
        <f>IF('Mode d''emploi'!$F$6&gt;=Population!D$25,ROUND(C31*(1-Mortalité!C32)+Migration!C32*(1-(Mortalité!C32/2)),0),"-")</f>
        <v>-</v>
      </c>
      <c r="E32" s="14" t="str">
        <f>IF('Mode d''emploi'!$F$6&gt;=Population!E$25,ROUND(D31*(1-Mortalité!D32)+Migration!D32*(1-(Mortalité!D32/2)),0),"-")</f>
        <v>-</v>
      </c>
      <c r="F32" s="14" t="str">
        <f>IF('Mode d''emploi'!$F$6&gt;=Population!F$25,ROUND(E31*(1-Mortalité!E32)+Migration!E32*(1-(Mortalité!E32/2)),0),"-")</f>
        <v>-</v>
      </c>
      <c r="G32" s="14" t="str">
        <f>IF('Mode d''emploi'!$F$6&gt;=Population!G$25,ROUND(F31*(1-Mortalité!F32)+Migration!F32*(1-(Mortalité!F32/2)),0),"-")</f>
        <v>-</v>
      </c>
      <c r="H32" s="14" t="str">
        <f>IF('Mode d''emploi'!$F$6&gt;=Population!H$25,ROUND(G31*(1-Mortalité!G32)+Migration!G32*(1-(Mortalité!G32/2)),0),"-")</f>
        <v>-</v>
      </c>
      <c r="I32" s="14" t="str">
        <f>IF('Mode d''emploi'!$F$6&gt;=Population!I$25,ROUND(H31*(1-Mortalité!H32)+Migration!H32*(1-(Mortalité!H32/2)),0),"-")</f>
        <v>-</v>
      </c>
      <c r="J32" s="14" t="str">
        <f>IF('Mode d''emploi'!$F$6&gt;=Population!J$25,ROUND(I31*(1-Mortalité!I32)+Migration!I32*(1-(Mortalité!I32/2)),0),"-")</f>
        <v>-</v>
      </c>
      <c r="K32" s="14" t="str">
        <f>IF('Mode d''emploi'!$F$6&gt;=Population!K$25,ROUND(J31*(1-Mortalité!J32)+Migration!J32*(1-(Mortalité!J32/2)),0),"-")</f>
        <v>-</v>
      </c>
      <c r="L32" s="14" t="str">
        <f>IF('Mode d''emploi'!$F$6&gt;=Population!L$25,ROUND(K31*(1-Mortalité!K32)+Migration!K32*(1-(Mortalité!K32/2)),0),"-")</f>
        <v>-</v>
      </c>
      <c r="M32" s="14" t="str">
        <f>IF('Mode d''emploi'!$F$6&gt;=Population!M$25,ROUND(L31*(1-Mortalité!L32)+Migration!L32*(1-(Mortalité!L32/2)),0),"-")</f>
        <v>-</v>
      </c>
      <c r="N32" s="14" t="str">
        <f>IF('Mode d''emploi'!$F$6&gt;=Population!N$25,ROUND(M31*(1-Mortalité!M32)+Migration!M32*(1-(Mortalité!M32/2)),0),"-")</f>
        <v>-</v>
      </c>
      <c r="O32" s="14" t="str">
        <f>IF('Mode d''emploi'!$F$6&gt;=Population!O$25,ROUND(N31*(1-Mortalité!N32)+Migration!N32*(1-(Mortalité!N32/2)),0),"-")</f>
        <v>-</v>
      </c>
      <c r="P32" s="14" t="str">
        <f>IF('Mode d''emploi'!$F$6&gt;=Population!P$25,ROUND(O31*(1-Mortalité!O32)+Migration!O32*(1-(Mortalité!O32/2)),0),"-")</f>
        <v>-</v>
      </c>
      <c r="Q32" s="14" t="str">
        <f>IF('Mode d''emploi'!$F$6&gt;=Population!Q$25,ROUND(P31*(1-Mortalité!P32)+Migration!P32*(1-(Mortalité!P32/2)),0),"-")</f>
        <v>-</v>
      </c>
      <c r="R32" s="14" t="str">
        <f>IF('Mode d''emploi'!$F$6&gt;=Population!R$25,ROUND(Q31*(1-Mortalité!Q32)+Migration!Q32*(1-(Mortalité!Q32/2)),0),"-")</f>
        <v>-</v>
      </c>
      <c r="S32" s="14" t="str">
        <f>IF('Mode d''emploi'!$F$6&gt;=Population!S$25,ROUND(R31*(1-Mortalité!R32)+Migration!R32*(1-(Mortalité!R32/2)),0),"-")</f>
        <v>-</v>
      </c>
      <c r="T32" s="14" t="str">
        <f>IF('Mode d''emploi'!$F$6&gt;=Population!T$25,ROUND(S31*(1-Mortalité!S32)+Migration!S32*(1-(Mortalité!S32/2)),0),"-")</f>
        <v>-</v>
      </c>
    </row>
    <row r="33" spans="2:20" x14ac:dyDescent="0.25">
      <c r="B33" s="5" t="s">
        <v>4</v>
      </c>
      <c r="C33" s="16">
        <v>287040</v>
      </c>
      <c r="D33" s="14" t="str">
        <f>IF('Mode d''emploi'!$F$6&gt;=Population!D$25,ROUND(C32*(1-Mortalité!C33)+Migration!C33*(1-(Mortalité!C33/2)),0),"-")</f>
        <v>-</v>
      </c>
      <c r="E33" s="14" t="str">
        <f>IF('Mode d''emploi'!$F$6&gt;=Population!E$25,ROUND(D32*(1-Mortalité!D33)+Migration!D33*(1-(Mortalité!D33/2)),0),"-")</f>
        <v>-</v>
      </c>
      <c r="F33" s="14" t="str">
        <f>IF('Mode d''emploi'!$F$6&gt;=Population!F$25,ROUND(E32*(1-Mortalité!E33)+Migration!E33*(1-(Mortalité!E33/2)),0),"-")</f>
        <v>-</v>
      </c>
      <c r="G33" s="14" t="str">
        <f>IF('Mode d''emploi'!$F$6&gt;=Population!G$25,ROUND(F32*(1-Mortalité!F33)+Migration!F33*(1-(Mortalité!F33/2)),0),"-")</f>
        <v>-</v>
      </c>
      <c r="H33" s="14" t="str">
        <f>IF('Mode d''emploi'!$F$6&gt;=Population!H$25,ROUND(G32*(1-Mortalité!G33)+Migration!G33*(1-(Mortalité!G33/2)),0),"-")</f>
        <v>-</v>
      </c>
      <c r="I33" s="14" t="str">
        <f>IF('Mode d''emploi'!$F$6&gt;=Population!I$25,ROUND(H32*(1-Mortalité!H33)+Migration!H33*(1-(Mortalité!H33/2)),0),"-")</f>
        <v>-</v>
      </c>
      <c r="J33" s="14" t="str">
        <f>IF('Mode d''emploi'!$F$6&gt;=Population!J$25,ROUND(I32*(1-Mortalité!I33)+Migration!I33*(1-(Mortalité!I33/2)),0),"-")</f>
        <v>-</v>
      </c>
      <c r="K33" s="14" t="str">
        <f>IF('Mode d''emploi'!$F$6&gt;=Population!K$25,ROUND(J32*(1-Mortalité!J33)+Migration!J33*(1-(Mortalité!J33/2)),0),"-")</f>
        <v>-</v>
      </c>
      <c r="L33" s="14" t="str">
        <f>IF('Mode d''emploi'!$F$6&gt;=Population!L$25,ROUND(K32*(1-Mortalité!K33)+Migration!K33*(1-(Mortalité!K33/2)),0),"-")</f>
        <v>-</v>
      </c>
      <c r="M33" s="14" t="str">
        <f>IF('Mode d''emploi'!$F$6&gt;=Population!M$25,ROUND(L32*(1-Mortalité!L33)+Migration!L33*(1-(Mortalité!L33/2)),0),"-")</f>
        <v>-</v>
      </c>
      <c r="N33" s="14" t="str">
        <f>IF('Mode d''emploi'!$F$6&gt;=Population!N$25,ROUND(M32*(1-Mortalité!M33)+Migration!M33*(1-(Mortalité!M33/2)),0),"-")</f>
        <v>-</v>
      </c>
      <c r="O33" s="14" t="str">
        <f>IF('Mode d''emploi'!$F$6&gt;=Population!O$25,ROUND(N32*(1-Mortalité!N33)+Migration!N33*(1-(Mortalité!N33/2)),0),"-")</f>
        <v>-</v>
      </c>
      <c r="P33" s="14" t="str">
        <f>IF('Mode d''emploi'!$F$6&gt;=Population!P$25,ROUND(O32*(1-Mortalité!O33)+Migration!O33*(1-(Mortalité!O33/2)),0),"-")</f>
        <v>-</v>
      </c>
      <c r="Q33" s="14" t="str">
        <f>IF('Mode d''emploi'!$F$6&gt;=Population!Q$25,ROUND(P32*(1-Mortalité!P33)+Migration!P33*(1-(Mortalité!P33/2)),0),"-")</f>
        <v>-</v>
      </c>
      <c r="R33" s="14" t="str">
        <f>IF('Mode d''emploi'!$F$6&gt;=Population!R$25,ROUND(Q32*(1-Mortalité!Q33)+Migration!Q33*(1-(Mortalité!Q33/2)),0),"-")</f>
        <v>-</v>
      </c>
      <c r="S33" s="14" t="str">
        <f>IF('Mode d''emploi'!$F$6&gt;=Population!S$25,ROUND(R32*(1-Mortalité!R33)+Migration!R33*(1-(Mortalité!R33/2)),0),"-")</f>
        <v>-</v>
      </c>
      <c r="T33" s="14" t="str">
        <f>IF('Mode d''emploi'!$F$6&gt;=Population!T$25,ROUND(S32*(1-Mortalité!S33)+Migration!S33*(1-(Mortalité!S33/2)),0),"-")</f>
        <v>-</v>
      </c>
    </row>
    <row r="34" spans="2:20" x14ac:dyDescent="0.25">
      <c r="B34" s="5" t="s">
        <v>5</v>
      </c>
      <c r="C34" s="16">
        <v>292776</v>
      </c>
      <c r="D34" s="14" t="str">
        <f>IF('Mode d''emploi'!$F$6&gt;=Population!D$25,ROUND(C33*(1-Mortalité!C34)+Migration!C34*(1-(Mortalité!C34/2)),0),"-")</f>
        <v>-</v>
      </c>
      <c r="E34" s="14" t="str">
        <f>IF('Mode d''emploi'!$F$6&gt;=Population!E$25,ROUND(D33*(1-Mortalité!D34)+Migration!D34*(1-(Mortalité!D34/2)),0),"-")</f>
        <v>-</v>
      </c>
      <c r="F34" s="14" t="str">
        <f>IF('Mode d''emploi'!$F$6&gt;=Population!F$25,ROUND(E33*(1-Mortalité!E34)+Migration!E34*(1-(Mortalité!E34/2)),0),"-")</f>
        <v>-</v>
      </c>
      <c r="G34" s="14" t="str">
        <f>IF('Mode d''emploi'!$F$6&gt;=Population!G$25,ROUND(F33*(1-Mortalité!F34)+Migration!F34*(1-(Mortalité!F34/2)),0),"-")</f>
        <v>-</v>
      </c>
      <c r="H34" s="14" t="str">
        <f>IF('Mode d''emploi'!$F$6&gt;=Population!H$25,ROUND(G33*(1-Mortalité!G34)+Migration!G34*(1-(Mortalité!G34/2)),0),"-")</f>
        <v>-</v>
      </c>
      <c r="I34" s="14" t="str">
        <f>IF('Mode d''emploi'!$F$6&gt;=Population!I$25,ROUND(H33*(1-Mortalité!H34)+Migration!H34*(1-(Mortalité!H34/2)),0),"-")</f>
        <v>-</v>
      </c>
      <c r="J34" s="14" t="str">
        <f>IF('Mode d''emploi'!$F$6&gt;=Population!J$25,ROUND(I33*(1-Mortalité!I34)+Migration!I34*(1-(Mortalité!I34/2)),0),"-")</f>
        <v>-</v>
      </c>
      <c r="K34" s="14" t="str">
        <f>IF('Mode d''emploi'!$F$6&gt;=Population!K$25,ROUND(J33*(1-Mortalité!J34)+Migration!J34*(1-(Mortalité!J34/2)),0),"-")</f>
        <v>-</v>
      </c>
      <c r="L34" s="14" t="str">
        <f>IF('Mode d''emploi'!$F$6&gt;=Population!L$25,ROUND(K33*(1-Mortalité!K34)+Migration!K34*(1-(Mortalité!K34/2)),0),"-")</f>
        <v>-</v>
      </c>
      <c r="M34" s="14" t="str">
        <f>IF('Mode d''emploi'!$F$6&gt;=Population!M$25,ROUND(L33*(1-Mortalité!L34)+Migration!L34*(1-(Mortalité!L34/2)),0),"-")</f>
        <v>-</v>
      </c>
      <c r="N34" s="14" t="str">
        <f>IF('Mode d''emploi'!$F$6&gt;=Population!N$25,ROUND(M33*(1-Mortalité!M34)+Migration!M34*(1-(Mortalité!M34/2)),0),"-")</f>
        <v>-</v>
      </c>
      <c r="O34" s="14" t="str">
        <f>IF('Mode d''emploi'!$F$6&gt;=Population!O$25,ROUND(N33*(1-Mortalité!N34)+Migration!N34*(1-(Mortalité!N34/2)),0),"-")</f>
        <v>-</v>
      </c>
      <c r="P34" s="14" t="str">
        <f>IF('Mode d''emploi'!$F$6&gt;=Population!P$25,ROUND(O33*(1-Mortalité!O34)+Migration!O34*(1-(Mortalité!O34/2)),0),"-")</f>
        <v>-</v>
      </c>
      <c r="Q34" s="14" t="str">
        <f>IF('Mode d''emploi'!$F$6&gt;=Population!Q$25,ROUND(P33*(1-Mortalité!P34)+Migration!P34*(1-(Mortalité!P34/2)),0),"-")</f>
        <v>-</v>
      </c>
      <c r="R34" s="14" t="str">
        <f>IF('Mode d''emploi'!$F$6&gt;=Population!R$25,ROUND(Q33*(1-Mortalité!Q34)+Migration!Q34*(1-(Mortalité!Q34/2)),0),"-")</f>
        <v>-</v>
      </c>
      <c r="S34" s="14" t="str">
        <f>IF('Mode d''emploi'!$F$6&gt;=Population!S$25,ROUND(R33*(1-Mortalité!R34)+Migration!R34*(1-(Mortalité!R34/2)),0),"-")</f>
        <v>-</v>
      </c>
      <c r="T34" s="14" t="str">
        <f>IF('Mode d''emploi'!$F$6&gt;=Population!T$25,ROUND(S33*(1-Mortalité!S34)+Migration!S34*(1-(Mortalité!S34/2)),0),"-")</f>
        <v>-</v>
      </c>
    </row>
    <row r="35" spans="2:20" x14ac:dyDescent="0.25">
      <c r="B35" s="5" t="s">
        <v>6</v>
      </c>
      <c r="C35" s="16">
        <v>324544</v>
      </c>
      <c r="D35" s="14" t="str">
        <f>IF('Mode d''emploi'!$F$6&gt;=Population!D$25,ROUND(C34*(1-Mortalité!C35)+Migration!C35*(1-(Mortalité!C35/2)),0),"-")</f>
        <v>-</v>
      </c>
      <c r="E35" s="14" t="str">
        <f>IF('Mode d''emploi'!$F$6&gt;=Population!E$25,ROUND(D34*(1-Mortalité!D35)+Migration!D35*(1-(Mortalité!D35/2)),0),"-")</f>
        <v>-</v>
      </c>
      <c r="F35" s="14" t="str">
        <f>IF('Mode d''emploi'!$F$6&gt;=Population!F$25,ROUND(E34*(1-Mortalité!E35)+Migration!E35*(1-(Mortalité!E35/2)),0),"-")</f>
        <v>-</v>
      </c>
      <c r="G35" s="14" t="str">
        <f>IF('Mode d''emploi'!$F$6&gt;=Population!G$25,ROUND(F34*(1-Mortalité!F35)+Migration!F35*(1-(Mortalité!F35/2)),0),"-")</f>
        <v>-</v>
      </c>
      <c r="H35" s="14" t="str">
        <f>IF('Mode d''emploi'!$F$6&gt;=Population!H$25,ROUND(G34*(1-Mortalité!G35)+Migration!G35*(1-(Mortalité!G35/2)),0),"-")</f>
        <v>-</v>
      </c>
      <c r="I35" s="14" t="str">
        <f>IF('Mode d''emploi'!$F$6&gt;=Population!I$25,ROUND(H34*(1-Mortalité!H35)+Migration!H35*(1-(Mortalité!H35/2)),0),"-")</f>
        <v>-</v>
      </c>
      <c r="J35" s="14" t="str">
        <f>IF('Mode d''emploi'!$F$6&gt;=Population!J$25,ROUND(I34*(1-Mortalité!I35)+Migration!I35*(1-(Mortalité!I35/2)),0),"-")</f>
        <v>-</v>
      </c>
      <c r="K35" s="14" t="str">
        <f>IF('Mode d''emploi'!$F$6&gt;=Population!K$25,ROUND(J34*(1-Mortalité!J35)+Migration!J35*(1-(Mortalité!J35/2)),0),"-")</f>
        <v>-</v>
      </c>
      <c r="L35" s="14" t="str">
        <f>IF('Mode d''emploi'!$F$6&gt;=Population!L$25,ROUND(K34*(1-Mortalité!K35)+Migration!K35*(1-(Mortalité!K35/2)),0),"-")</f>
        <v>-</v>
      </c>
      <c r="M35" s="14" t="str">
        <f>IF('Mode d''emploi'!$F$6&gt;=Population!M$25,ROUND(L34*(1-Mortalité!L35)+Migration!L35*(1-(Mortalité!L35/2)),0),"-")</f>
        <v>-</v>
      </c>
      <c r="N35" s="14" t="str">
        <f>IF('Mode d''emploi'!$F$6&gt;=Population!N$25,ROUND(M34*(1-Mortalité!M35)+Migration!M35*(1-(Mortalité!M35/2)),0),"-")</f>
        <v>-</v>
      </c>
      <c r="O35" s="14" t="str">
        <f>IF('Mode d''emploi'!$F$6&gt;=Population!O$25,ROUND(N34*(1-Mortalité!N35)+Migration!N35*(1-(Mortalité!N35/2)),0),"-")</f>
        <v>-</v>
      </c>
      <c r="P35" s="14" t="str">
        <f>IF('Mode d''emploi'!$F$6&gt;=Population!P$25,ROUND(O34*(1-Mortalité!O35)+Migration!O35*(1-(Mortalité!O35/2)),0),"-")</f>
        <v>-</v>
      </c>
      <c r="Q35" s="14" t="str">
        <f>IF('Mode d''emploi'!$F$6&gt;=Population!Q$25,ROUND(P34*(1-Mortalité!P35)+Migration!P35*(1-(Mortalité!P35/2)),0),"-")</f>
        <v>-</v>
      </c>
      <c r="R35" s="14" t="str">
        <f>IF('Mode d''emploi'!$F$6&gt;=Population!R$25,ROUND(Q34*(1-Mortalité!Q35)+Migration!Q35*(1-(Mortalité!Q35/2)),0),"-")</f>
        <v>-</v>
      </c>
      <c r="S35" s="14" t="str">
        <f>IF('Mode d''emploi'!$F$6&gt;=Population!S$25,ROUND(R34*(1-Mortalité!R35)+Migration!R35*(1-(Mortalité!R35/2)),0),"-")</f>
        <v>-</v>
      </c>
      <c r="T35" s="14" t="str">
        <f>IF('Mode d''emploi'!$F$6&gt;=Population!T$25,ROUND(S34*(1-Mortalité!S35)+Migration!S35*(1-(Mortalité!S35/2)),0),"-")</f>
        <v>-</v>
      </c>
    </row>
    <row r="36" spans="2:20" x14ac:dyDescent="0.25">
      <c r="B36" s="5" t="s">
        <v>10</v>
      </c>
      <c r="C36" s="16">
        <v>324312</v>
      </c>
      <c r="D36" s="14" t="str">
        <f>IF('Mode d''emploi'!$F$6&gt;=Population!D$25,ROUND(C35*(1-Mortalité!C36)+Migration!C36*(1-(Mortalité!C36/2)),0),"-")</f>
        <v>-</v>
      </c>
      <c r="E36" s="14" t="str">
        <f>IF('Mode d''emploi'!$F$6&gt;=Population!E$25,ROUND(D35*(1-Mortalité!D36)+Migration!D36*(1-(Mortalité!D36/2)),0),"-")</f>
        <v>-</v>
      </c>
      <c r="F36" s="14" t="str">
        <f>IF('Mode d''emploi'!$F$6&gt;=Population!F$25,ROUND(E35*(1-Mortalité!E36)+Migration!E36*(1-(Mortalité!E36/2)),0),"-")</f>
        <v>-</v>
      </c>
      <c r="G36" s="14" t="str">
        <f>IF('Mode d''emploi'!$F$6&gt;=Population!G$25,ROUND(F35*(1-Mortalité!F36)+Migration!F36*(1-(Mortalité!F36/2)),0),"-")</f>
        <v>-</v>
      </c>
      <c r="H36" s="14" t="str">
        <f>IF('Mode d''emploi'!$F$6&gt;=Population!H$25,ROUND(G35*(1-Mortalité!G36)+Migration!G36*(1-(Mortalité!G36/2)),0),"-")</f>
        <v>-</v>
      </c>
      <c r="I36" s="14" t="str">
        <f>IF('Mode d''emploi'!$F$6&gt;=Population!I$25,ROUND(H35*(1-Mortalité!H36)+Migration!H36*(1-(Mortalité!H36/2)),0),"-")</f>
        <v>-</v>
      </c>
      <c r="J36" s="14" t="str">
        <f>IF('Mode d''emploi'!$F$6&gt;=Population!J$25,ROUND(I35*(1-Mortalité!I36)+Migration!I36*(1-(Mortalité!I36/2)),0),"-")</f>
        <v>-</v>
      </c>
      <c r="K36" s="14" t="str">
        <f>IF('Mode d''emploi'!$F$6&gt;=Population!K$25,ROUND(J35*(1-Mortalité!J36)+Migration!J36*(1-(Mortalité!J36/2)),0),"-")</f>
        <v>-</v>
      </c>
      <c r="L36" s="14" t="str">
        <f>IF('Mode d''emploi'!$F$6&gt;=Population!L$25,ROUND(K35*(1-Mortalité!K36)+Migration!K36*(1-(Mortalité!K36/2)),0),"-")</f>
        <v>-</v>
      </c>
      <c r="M36" s="14" t="str">
        <f>IF('Mode d''emploi'!$F$6&gt;=Population!M$25,ROUND(L35*(1-Mortalité!L36)+Migration!L36*(1-(Mortalité!L36/2)),0),"-")</f>
        <v>-</v>
      </c>
      <c r="N36" s="14" t="str">
        <f>IF('Mode d''emploi'!$F$6&gt;=Population!N$25,ROUND(M35*(1-Mortalité!M36)+Migration!M36*(1-(Mortalité!M36/2)),0),"-")</f>
        <v>-</v>
      </c>
      <c r="O36" s="14" t="str">
        <f>IF('Mode d''emploi'!$F$6&gt;=Population!O$25,ROUND(N35*(1-Mortalité!N36)+Migration!N36*(1-(Mortalité!N36/2)),0),"-")</f>
        <v>-</v>
      </c>
      <c r="P36" s="14" t="str">
        <f>IF('Mode d''emploi'!$F$6&gt;=Population!P$25,ROUND(O35*(1-Mortalité!O36)+Migration!O36*(1-(Mortalité!O36/2)),0),"-")</f>
        <v>-</v>
      </c>
      <c r="Q36" s="14" t="str">
        <f>IF('Mode d''emploi'!$F$6&gt;=Population!Q$25,ROUND(P35*(1-Mortalité!P36)+Migration!P36*(1-(Mortalité!P36/2)),0),"-")</f>
        <v>-</v>
      </c>
      <c r="R36" s="14" t="str">
        <f>IF('Mode d''emploi'!$F$6&gt;=Population!R$25,ROUND(Q35*(1-Mortalité!Q36)+Migration!Q36*(1-(Mortalité!Q36/2)),0),"-")</f>
        <v>-</v>
      </c>
      <c r="S36" s="14" t="str">
        <f>IF('Mode d''emploi'!$F$6&gt;=Population!S$25,ROUND(R35*(1-Mortalité!R36)+Migration!R36*(1-(Mortalité!R36/2)),0),"-")</f>
        <v>-</v>
      </c>
      <c r="T36" s="14" t="str">
        <f>IF('Mode d''emploi'!$F$6&gt;=Population!T$25,ROUND(S35*(1-Mortalité!S36)+Migration!S36*(1-(Mortalité!S36/2)),0),"-")</f>
        <v>-</v>
      </c>
    </row>
    <row r="37" spans="2:20" x14ac:dyDescent="0.25">
      <c r="B37" s="5" t="s">
        <v>11</v>
      </c>
      <c r="C37" s="16">
        <v>277364</v>
      </c>
      <c r="D37" s="14" t="str">
        <f>IF('Mode d''emploi'!$F$6&gt;=Population!D$25,ROUND(C36*(1-Mortalité!C37)+Migration!C37*(1-(Mortalité!C37/2)),0),"-")</f>
        <v>-</v>
      </c>
      <c r="E37" s="14" t="str">
        <f>IF('Mode d''emploi'!$F$6&gt;=Population!E$25,ROUND(D36*(1-Mortalité!D37)+Migration!D37*(1-(Mortalité!D37/2)),0),"-")</f>
        <v>-</v>
      </c>
      <c r="F37" s="14" t="str">
        <f>IF('Mode d''emploi'!$F$6&gt;=Population!F$25,ROUND(E36*(1-Mortalité!E37)+Migration!E37*(1-(Mortalité!E37/2)),0),"-")</f>
        <v>-</v>
      </c>
      <c r="G37" s="14" t="str">
        <f>IF('Mode d''emploi'!$F$6&gt;=Population!G$25,ROUND(F36*(1-Mortalité!F37)+Migration!F37*(1-(Mortalité!F37/2)),0),"-")</f>
        <v>-</v>
      </c>
      <c r="H37" s="14" t="str">
        <f>IF('Mode d''emploi'!$F$6&gt;=Population!H$25,ROUND(G36*(1-Mortalité!G37)+Migration!G37*(1-(Mortalité!G37/2)),0),"-")</f>
        <v>-</v>
      </c>
      <c r="I37" s="14" t="str">
        <f>IF('Mode d''emploi'!$F$6&gt;=Population!I$25,ROUND(H36*(1-Mortalité!H37)+Migration!H37*(1-(Mortalité!H37/2)),0),"-")</f>
        <v>-</v>
      </c>
      <c r="J37" s="14" t="str">
        <f>IF('Mode d''emploi'!$F$6&gt;=Population!J$25,ROUND(I36*(1-Mortalité!I37)+Migration!I37*(1-(Mortalité!I37/2)),0),"-")</f>
        <v>-</v>
      </c>
      <c r="K37" s="14" t="str">
        <f>IF('Mode d''emploi'!$F$6&gt;=Population!K$25,ROUND(J36*(1-Mortalité!J37)+Migration!J37*(1-(Mortalité!J37/2)),0),"-")</f>
        <v>-</v>
      </c>
      <c r="L37" s="14" t="str">
        <f>IF('Mode d''emploi'!$F$6&gt;=Population!L$25,ROUND(K36*(1-Mortalité!K37)+Migration!K37*(1-(Mortalité!K37/2)),0),"-")</f>
        <v>-</v>
      </c>
      <c r="M37" s="14" t="str">
        <f>IF('Mode d''emploi'!$F$6&gt;=Population!M$25,ROUND(L36*(1-Mortalité!L37)+Migration!L37*(1-(Mortalité!L37/2)),0),"-")</f>
        <v>-</v>
      </c>
      <c r="N37" s="14" t="str">
        <f>IF('Mode d''emploi'!$F$6&gt;=Population!N$25,ROUND(M36*(1-Mortalité!M37)+Migration!M37*(1-(Mortalité!M37/2)),0),"-")</f>
        <v>-</v>
      </c>
      <c r="O37" s="14" t="str">
        <f>IF('Mode d''emploi'!$F$6&gt;=Population!O$25,ROUND(N36*(1-Mortalité!N37)+Migration!N37*(1-(Mortalité!N37/2)),0),"-")</f>
        <v>-</v>
      </c>
      <c r="P37" s="14" t="str">
        <f>IF('Mode d''emploi'!$F$6&gt;=Population!P$25,ROUND(O36*(1-Mortalité!O37)+Migration!O37*(1-(Mortalité!O37/2)),0),"-")</f>
        <v>-</v>
      </c>
      <c r="Q37" s="14" t="str">
        <f>IF('Mode d''emploi'!$F$6&gt;=Population!Q$25,ROUND(P36*(1-Mortalité!P37)+Migration!P37*(1-(Mortalité!P37/2)),0),"-")</f>
        <v>-</v>
      </c>
      <c r="R37" s="14" t="str">
        <f>IF('Mode d''emploi'!$F$6&gt;=Population!R$25,ROUND(Q36*(1-Mortalité!Q37)+Migration!Q37*(1-(Mortalité!Q37/2)),0),"-")</f>
        <v>-</v>
      </c>
      <c r="S37" s="14" t="str">
        <f>IF('Mode d''emploi'!$F$6&gt;=Population!S$25,ROUND(R36*(1-Mortalité!R37)+Migration!R37*(1-(Mortalité!R37/2)),0),"-")</f>
        <v>-</v>
      </c>
      <c r="T37" s="14" t="str">
        <f>IF('Mode d''emploi'!$F$6&gt;=Population!T$25,ROUND(S36*(1-Mortalité!S37)+Migration!S37*(1-(Mortalité!S37/2)),0),"-")</f>
        <v>-</v>
      </c>
    </row>
    <row r="38" spans="2:20" x14ac:dyDescent="0.25">
      <c r="B38" s="5" t="s">
        <v>12</v>
      </c>
      <c r="C38" s="16">
        <v>237099</v>
      </c>
      <c r="D38" s="14" t="str">
        <f>IF('Mode d''emploi'!$F$6&gt;=Population!D$25,ROUND(C37*(1-Mortalité!C38)+Migration!C38*(1-(Mortalité!C38/2)),0),"-")</f>
        <v>-</v>
      </c>
      <c r="E38" s="14" t="str">
        <f>IF('Mode d''emploi'!$F$6&gt;=Population!E$25,ROUND(D37*(1-Mortalité!D38)+Migration!D38*(1-(Mortalité!D38/2)),0),"-")</f>
        <v>-</v>
      </c>
      <c r="F38" s="14" t="str">
        <f>IF('Mode d''emploi'!$F$6&gt;=Population!F$25,ROUND(E37*(1-Mortalité!E38)+Migration!E38*(1-(Mortalité!E38/2)),0),"-")</f>
        <v>-</v>
      </c>
      <c r="G38" s="14" t="str">
        <f>IF('Mode d''emploi'!$F$6&gt;=Population!G$25,ROUND(F37*(1-Mortalité!F38)+Migration!F38*(1-(Mortalité!F38/2)),0),"-")</f>
        <v>-</v>
      </c>
      <c r="H38" s="14" t="str">
        <f>IF('Mode d''emploi'!$F$6&gt;=Population!H$25,ROUND(G37*(1-Mortalité!G38)+Migration!G38*(1-(Mortalité!G38/2)),0),"-")</f>
        <v>-</v>
      </c>
      <c r="I38" s="14" t="str">
        <f>IF('Mode d''emploi'!$F$6&gt;=Population!I$25,ROUND(H37*(1-Mortalité!H38)+Migration!H38*(1-(Mortalité!H38/2)),0),"-")</f>
        <v>-</v>
      </c>
      <c r="J38" s="14" t="str">
        <f>IF('Mode d''emploi'!$F$6&gt;=Population!J$25,ROUND(I37*(1-Mortalité!I38)+Migration!I38*(1-(Mortalité!I38/2)),0),"-")</f>
        <v>-</v>
      </c>
      <c r="K38" s="14" t="str">
        <f>IF('Mode d''emploi'!$F$6&gt;=Population!K$25,ROUND(J37*(1-Mortalité!J38)+Migration!J38*(1-(Mortalité!J38/2)),0),"-")</f>
        <v>-</v>
      </c>
      <c r="L38" s="14" t="str">
        <f>IF('Mode d''emploi'!$F$6&gt;=Population!L$25,ROUND(K37*(1-Mortalité!K38)+Migration!K38*(1-(Mortalité!K38/2)),0),"-")</f>
        <v>-</v>
      </c>
      <c r="M38" s="14" t="str">
        <f>IF('Mode d''emploi'!$F$6&gt;=Population!M$25,ROUND(L37*(1-Mortalité!L38)+Migration!L38*(1-(Mortalité!L38/2)),0),"-")</f>
        <v>-</v>
      </c>
      <c r="N38" s="14" t="str">
        <f>IF('Mode d''emploi'!$F$6&gt;=Population!N$25,ROUND(M37*(1-Mortalité!M38)+Migration!M38*(1-(Mortalité!M38/2)),0),"-")</f>
        <v>-</v>
      </c>
      <c r="O38" s="14" t="str">
        <f>IF('Mode d''emploi'!$F$6&gt;=Population!O$25,ROUND(N37*(1-Mortalité!N38)+Migration!N38*(1-(Mortalité!N38/2)),0),"-")</f>
        <v>-</v>
      </c>
      <c r="P38" s="14" t="str">
        <f>IF('Mode d''emploi'!$F$6&gt;=Population!P$25,ROUND(O37*(1-Mortalité!O38)+Migration!O38*(1-(Mortalité!O38/2)),0),"-")</f>
        <v>-</v>
      </c>
      <c r="Q38" s="14" t="str">
        <f>IF('Mode d''emploi'!$F$6&gt;=Population!Q$25,ROUND(P37*(1-Mortalité!P38)+Migration!P38*(1-(Mortalité!P38/2)),0),"-")</f>
        <v>-</v>
      </c>
      <c r="R38" s="14" t="str">
        <f>IF('Mode d''emploi'!$F$6&gt;=Population!R$25,ROUND(Q37*(1-Mortalité!Q38)+Migration!Q38*(1-(Mortalité!Q38/2)),0),"-")</f>
        <v>-</v>
      </c>
      <c r="S38" s="14" t="str">
        <f>IF('Mode d''emploi'!$F$6&gt;=Population!S$25,ROUND(R37*(1-Mortalité!R38)+Migration!R38*(1-(Mortalité!R38/2)),0),"-")</f>
        <v>-</v>
      </c>
      <c r="T38" s="14" t="str">
        <f>IF('Mode d''emploi'!$F$6&gt;=Population!T$25,ROUND(S37*(1-Mortalité!S38)+Migration!S38*(1-(Mortalité!S38/2)),0),"-")</f>
        <v>-</v>
      </c>
    </row>
    <row r="39" spans="2:20" x14ac:dyDescent="0.25">
      <c r="B39" s="5" t="s">
        <v>13</v>
      </c>
      <c r="C39" s="16">
        <v>223920</v>
      </c>
      <c r="D39" s="14" t="str">
        <f>IF('Mode d''emploi'!$F$6&gt;=Population!D$25,ROUND(C38*(1-Mortalité!C39)+Migration!C39*(1-(Mortalité!C39/2)),0),"-")</f>
        <v>-</v>
      </c>
      <c r="E39" s="14" t="str">
        <f>IF('Mode d''emploi'!$F$6&gt;=Population!E$25,ROUND(D38*(1-Mortalité!D39)+Migration!D39*(1-(Mortalité!D39/2)),0),"-")</f>
        <v>-</v>
      </c>
      <c r="F39" s="14" t="str">
        <f>IF('Mode d''emploi'!$F$6&gt;=Population!F$25,ROUND(E38*(1-Mortalité!E39)+Migration!E39*(1-(Mortalité!E39/2)),0),"-")</f>
        <v>-</v>
      </c>
      <c r="G39" s="14" t="str">
        <f>IF('Mode d''emploi'!$F$6&gt;=Population!G$25,ROUND(F38*(1-Mortalité!F39)+Migration!F39*(1-(Mortalité!F39/2)),0),"-")</f>
        <v>-</v>
      </c>
      <c r="H39" s="14" t="str">
        <f>IF('Mode d''emploi'!$F$6&gt;=Population!H$25,ROUND(G38*(1-Mortalité!G39)+Migration!G39*(1-(Mortalité!G39/2)),0),"-")</f>
        <v>-</v>
      </c>
      <c r="I39" s="14" t="str">
        <f>IF('Mode d''emploi'!$F$6&gt;=Population!I$25,ROUND(H38*(1-Mortalité!H39)+Migration!H39*(1-(Mortalité!H39/2)),0),"-")</f>
        <v>-</v>
      </c>
      <c r="J39" s="14" t="str">
        <f>IF('Mode d''emploi'!$F$6&gt;=Population!J$25,ROUND(I38*(1-Mortalité!I39)+Migration!I39*(1-(Mortalité!I39/2)),0),"-")</f>
        <v>-</v>
      </c>
      <c r="K39" s="14" t="str">
        <f>IF('Mode d''emploi'!$F$6&gt;=Population!K$25,ROUND(J38*(1-Mortalité!J39)+Migration!J39*(1-(Mortalité!J39/2)),0),"-")</f>
        <v>-</v>
      </c>
      <c r="L39" s="14" t="str">
        <f>IF('Mode d''emploi'!$F$6&gt;=Population!L$25,ROUND(K38*(1-Mortalité!K39)+Migration!K39*(1-(Mortalité!K39/2)),0),"-")</f>
        <v>-</v>
      </c>
      <c r="M39" s="14" t="str">
        <f>IF('Mode d''emploi'!$F$6&gt;=Population!M$25,ROUND(L38*(1-Mortalité!L39)+Migration!L39*(1-(Mortalité!L39/2)),0),"-")</f>
        <v>-</v>
      </c>
      <c r="N39" s="14" t="str">
        <f>IF('Mode d''emploi'!$F$6&gt;=Population!N$25,ROUND(M38*(1-Mortalité!M39)+Migration!M39*(1-(Mortalité!M39/2)),0),"-")</f>
        <v>-</v>
      </c>
      <c r="O39" s="14" t="str">
        <f>IF('Mode d''emploi'!$F$6&gt;=Population!O$25,ROUND(N38*(1-Mortalité!N39)+Migration!N39*(1-(Mortalité!N39/2)),0),"-")</f>
        <v>-</v>
      </c>
      <c r="P39" s="14" t="str">
        <f>IF('Mode d''emploi'!$F$6&gt;=Population!P$25,ROUND(O38*(1-Mortalité!O39)+Migration!O39*(1-(Mortalité!O39/2)),0),"-")</f>
        <v>-</v>
      </c>
      <c r="Q39" s="14" t="str">
        <f>IF('Mode d''emploi'!$F$6&gt;=Population!Q$25,ROUND(P38*(1-Mortalité!P39)+Migration!P39*(1-(Mortalité!P39/2)),0),"-")</f>
        <v>-</v>
      </c>
      <c r="R39" s="14" t="str">
        <f>IF('Mode d''emploi'!$F$6&gt;=Population!R$25,ROUND(Q38*(1-Mortalité!Q39)+Migration!Q39*(1-(Mortalité!Q39/2)),0),"-")</f>
        <v>-</v>
      </c>
      <c r="S39" s="14" t="str">
        <f>IF('Mode d''emploi'!$F$6&gt;=Population!S$25,ROUND(R38*(1-Mortalité!R39)+Migration!R39*(1-(Mortalité!R39/2)),0),"-")</f>
        <v>-</v>
      </c>
      <c r="T39" s="14" t="str">
        <f>IF('Mode d''emploi'!$F$6&gt;=Population!T$25,ROUND(S38*(1-Mortalité!S39)+Migration!S39*(1-(Mortalité!S39/2)),0),"-")</f>
        <v>-</v>
      </c>
    </row>
    <row r="40" spans="2:20" x14ac:dyDescent="0.25">
      <c r="B40" s="5" t="s">
        <v>14</v>
      </c>
      <c r="C40" s="16">
        <v>195775</v>
      </c>
      <c r="D40" s="14" t="str">
        <f>IF('Mode d''emploi'!$F$6&gt;=Population!D$25,ROUND(C39*(1-Mortalité!C40)+Migration!C40*(1-(Mortalité!C40/2)),0),"-")</f>
        <v>-</v>
      </c>
      <c r="E40" s="14" t="str">
        <f>IF('Mode d''emploi'!$F$6&gt;=Population!E$25,ROUND(D39*(1-Mortalité!D40)+Migration!D40*(1-(Mortalité!D40/2)),0),"-")</f>
        <v>-</v>
      </c>
      <c r="F40" s="14" t="str">
        <f>IF('Mode d''emploi'!$F$6&gt;=Population!F$25,ROUND(E39*(1-Mortalité!E40)+Migration!E40*(1-(Mortalité!E40/2)),0),"-")</f>
        <v>-</v>
      </c>
      <c r="G40" s="14" t="str">
        <f>IF('Mode d''emploi'!$F$6&gt;=Population!G$25,ROUND(F39*(1-Mortalité!F40)+Migration!F40*(1-(Mortalité!F40/2)),0),"-")</f>
        <v>-</v>
      </c>
      <c r="H40" s="14" t="str">
        <f>IF('Mode d''emploi'!$F$6&gt;=Population!H$25,ROUND(G39*(1-Mortalité!G40)+Migration!G40*(1-(Mortalité!G40/2)),0),"-")</f>
        <v>-</v>
      </c>
      <c r="I40" s="14" t="str">
        <f>IF('Mode d''emploi'!$F$6&gt;=Population!I$25,ROUND(H39*(1-Mortalité!H40)+Migration!H40*(1-(Mortalité!H40/2)),0),"-")</f>
        <v>-</v>
      </c>
      <c r="J40" s="14" t="str">
        <f>IF('Mode d''emploi'!$F$6&gt;=Population!J$25,ROUND(I39*(1-Mortalité!I40)+Migration!I40*(1-(Mortalité!I40/2)),0),"-")</f>
        <v>-</v>
      </c>
      <c r="K40" s="14" t="str">
        <f>IF('Mode d''emploi'!$F$6&gt;=Population!K$25,ROUND(J39*(1-Mortalité!J40)+Migration!J40*(1-(Mortalité!J40/2)),0),"-")</f>
        <v>-</v>
      </c>
      <c r="L40" s="14" t="str">
        <f>IF('Mode d''emploi'!$F$6&gt;=Population!L$25,ROUND(K39*(1-Mortalité!K40)+Migration!K40*(1-(Mortalité!K40/2)),0),"-")</f>
        <v>-</v>
      </c>
      <c r="M40" s="14" t="str">
        <f>IF('Mode d''emploi'!$F$6&gt;=Population!M$25,ROUND(L39*(1-Mortalité!L40)+Migration!L40*(1-(Mortalité!L40/2)),0),"-")</f>
        <v>-</v>
      </c>
      <c r="N40" s="14" t="str">
        <f>IF('Mode d''emploi'!$F$6&gt;=Population!N$25,ROUND(M39*(1-Mortalité!M40)+Migration!M40*(1-(Mortalité!M40/2)),0),"-")</f>
        <v>-</v>
      </c>
      <c r="O40" s="14" t="str">
        <f>IF('Mode d''emploi'!$F$6&gt;=Population!O$25,ROUND(N39*(1-Mortalité!N40)+Migration!N40*(1-(Mortalité!N40/2)),0),"-")</f>
        <v>-</v>
      </c>
      <c r="P40" s="14" t="str">
        <f>IF('Mode d''emploi'!$F$6&gt;=Population!P$25,ROUND(O39*(1-Mortalité!O40)+Migration!O40*(1-(Mortalité!O40/2)),0),"-")</f>
        <v>-</v>
      </c>
      <c r="Q40" s="14" t="str">
        <f>IF('Mode d''emploi'!$F$6&gt;=Population!Q$25,ROUND(P39*(1-Mortalité!P40)+Migration!P40*(1-(Mortalité!P40/2)),0),"-")</f>
        <v>-</v>
      </c>
      <c r="R40" s="14" t="str">
        <f>IF('Mode d''emploi'!$F$6&gt;=Population!R$25,ROUND(Q39*(1-Mortalité!Q40)+Migration!Q40*(1-(Mortalité!Q40/2)),0),"-")</f>
        <v>-</v>
      </c>
      <c r="S40" s="14" t="str">
        <f>IF('Mode d''emploi'!$F$6&gt;=Population!S$25,ROUND(R39*(1-Mortalité!R40)+Migration!R40*(1-(Mortalité!R40/2)),0),"-")</f>
        <v>-</v>
      </c>
      <c r="T40" s="14" t="str">
        <f>IF('Mode d''emploi'!$F$6&gt;=Population!T$25,ROUND(S39*(1-Mortalité!S40)+Migration!S40*(1-(Mortalité!S40/2)),0),"-")</f>
        <v>-</v>
      </c>
    </row>
    <row r="41" spans="2:20" x14ac:dyDescent="0.25">
      <c r="B41" s="5" t="s">
        <v>15</v>
      </c>
      <c r="C41" s="16">
        <v>152041</v>
      </c>
      <c r="D41" s="14" t="str">
        <f>IF('Mode d''emploi'!$F$6&gt;=Population!D$25,ROUND(C40*(1-Mortalité!C41)+Migration!C41*(1-(Mortalité!C41/2)),0),"-")</f>
        <v>-</v>
      </c>
      <c r="E41" s="14" t="str">
        <f>IF('Mode d''emploi'!$F$6&gt;=Population!E$25,ROUND(D40*(1-Mortalité!D41)+Migration!D41*(1-(Mortalité!D41/2)),0),"-")</f>
        <v>-</v>
      </c>
      <c r="F41" s="14" t="str">
        <f>IF('Mode d''emploi'!$F$6&gt;=Population!F$25,ROUND(E40*(1-Mortalité!E41)+Migration!E41*(1-(Mortalité!E41/2)),0),"-")</f>
        <v>-</v>
      </c>
      <c r="G41" s="14" t="str">
        <f>IF('Mode d''emploi'!$F$6&gt;=Population!G$25,ROUND(F40*(1-Mortalité!F41)+Migration!F41*(1-(Mortalité!F41/2)),0),"-")</f>
        <v>-</v>
      </c>
      <c r="H41" s="14" t="str">
        <f>IF('Mode d''emploi'!$F$6&gt;=Population!H$25,ROUND(G40*(1-Mortalité!G41)+Migration!G41*(1-(Mortalité!G41/2)),0),"-")</f>
        <v>-</v>
      </c>
      <c r="I41" s="14" t="str">
        <f>IF('Mode d''emploi'!$F$6&gt;=Population!I$25,ROUND(H40*(1-Mortalité!H41)+Migration!H41*(1-(Mortalité!H41/2)),0),"-")</f>
        <v>-</v>
      </c>
      <c r="J41" s="14" t="str">
        <f>IF('Mode d''emploi'!$F$6&gt;=Population!J$25,ROUND(I40*(1-Mortalité!I41)+Migration!I41*(1-(Mortalité!I41/2)),0),"-")</f>
        <v>-</v>
      </c>
      <c r="K41" s="14" t="str">
        <f>IF('Mode d''emploi'!$F$6&gt;=Population!K$25,ROUND(J40*(1-Mortalité!J41)+Migration!J41*(1-(Mortalité!J41/2)),0),"-")</f>
        <v>-</v>
      </c>
      <c r="L41" s="14" t="str">
        <f>IF('Mode d''emploi'!$F$6&gt;=Population!L$25,ROUND(K40*(1-Mortalité!K41)+Migration!K41*(1-(Mortalité!K41/2)),0),"-")</f>
        <v>-</v>
      </c>
      <c r="M41" s="14" t="str">
        <f>IF('Mode d''emploi'!$F$6&gt;=Population!M$25,ROUND(L40*(1-Mortalité!L41)+Migration!L41*(1-(Mortalité!L41/2)),0),"-")</f>
        <v>-</v>
      </c>
      <c r="N41" s="14" t="str">
        <f>IF('Mode d''emploi'!$F$6&gt;=Population!N$25,ROUND(M40*(1-Mortalité!M41)+Migration!M41*(1-(Mortalité!M41/2)),0),"-")</f>
        <v>-</v>
      </c>
      <c r="O41" s="14" t="str">
        <f>IF('Mode d''emploi'!$F$6&gt;=Population!O$25,ROUND(N40*(1-Mortalité!N41)+Migration!N41*(1-(Mortalité!N41/2)),0),"-")</f>
        <v>-</v>
      </c>
      <c r="P41" s="14" t="str">
        <f>IF('Mode d''emploi'!$F$6&gt;=Population!P$25,ROUND(O40*(1-Mortalité!O41)+Migration!O41*(1-(Mortalité!O41/2)),0),"-")</f>
        <v>-</v>
      </c>
      <c r="Q41" s="14" t="str">
        <f>IF('Mode d''emploi'!$F$6&gt;=Population!Q$25,ROUND(P40*(1-Mortalité!P41)+Migration!P41*(1-(Mortalité!P41/2)),0),"-")</f>
        <v>-</v>
      </c>
      <c r="R41" s="14" t="str">
        <f>IF('Mode d''emploi'!$F$6&gt;=Population!R$25,ROUND(Q40*(1-Mortalité!Q41)+Migration!Q41*(1-(Mortalité!Q41/2)),0),"-")</f>
        <v>-</v>
      </c>
      <c r="S41" s="14" t="str">
        <f>IF('Mode d''emploi'!$F$6&gt;=Population!S$25,ROUND(R40*(1-Mortalité!R41)+Migration!R41*(1-(Mortalité!R41/2)),0),"-")</f>
        <v>-</v>
      </c>
      <c r="T41" s="14" t="str">
        <f>IF('Mode d''emploi'!$F$6&gt;=Population!T$25,ROUND(S40*(1-Mortalité!S41)+Migration!S41*(1-(Mortalité!S41/2)),0),"-")</f>
        <v>-</v>
      </c>
    </row>
    <row r="42" spans="2:20" x14ac:dyDescent="0.25">
      <c r="B42" s="5" t="s">
        <v>16</v>
      </c>
      <c r="C42" s="16">
        <v>125100</v>
      </c>
      <c r="D42" s="14" t="str">
        <f>IF('Mode d''emploi'!$F$6&gt;=Population!D$25,ROUND(C41*(1-Mortalité!C42)+Migration!C42*(1-(Mortalité!C42/2)),0),"-")</f>
        <v>-</v>
      </c>
      <c r="E42" s="14" t="str">
        <f>IF('Mode d''emploi'!$F$6&gt;=Population!E$25,ROUND(D41*(1-Mortalité!D42)+Migration!D42*(1-(Mortalité!D42/2)),0),"-")</f>
        <v>-</v>
      </c>
      <c r="F42" s="14" t="str">
        <f>IF('Mode d''emploi'!$F$6&gt;=Population!F$25,ROUND(E41*(1-Mortalité!E42)+Migration!E42*(1-(Mortalité!E42/2)),0),"-")</f>
        <v>-</v>
      </c>
      <c r="G42" s="14" t="str">
        <f>IF('Mode d''emploi'!$F$6&gt;=Population!G$25,ROUND(F41*(1-Mortalité!F42)+Migration!F42*(1-(Mortalité!F42/2)),0),"-")</f>
        <v>-</v>
      </c>
      <c r="H42" s="14" t="str">
        <f>IF('Mode d''emploi'!$F$6&gt;=Population!H$25,ROUND(G41*(1-Mortalité!G42)+Migration!G42*(1-(Mortalité!G42/2)),0),"-")</f>
        <v>-</v>
      </c>
      <c r="I42" s="14" t="str">
        <f>IF('Mode d''emploi'!$F$6&gt;=Population!I$25,ROUND(H41*(1-Mortalité!H42)+Migration!H42*(1-(Mortalité!H42/2)),0),"-")</f>
        <v>-</v>
      </c>
      <c r="J42" s="14" t="str">
        <f>IF('Mode d''emploi'!$F$6&gt;=Population!J$25,ROUND(I41*(1-Mortalité!I42)+Migration!I42*(1-(Mortalité!I42/2)),0),"-")</f>
        <v>-</v>
      </c>
      <c r="K42" s="14" t="str">
        <f>IF('Mode d''emploi'!$F$6&gt;=Population!K$25,ROUND(J41*(1-Mortalité!J42)+Migration!J42*(1-(Mortalité!J42/2)),0),"-")</f>
        <v>-</v>
      </c>
      <c r="L42" s="14" t="str">
        <f>IF('Mode d''emploi'!$F$6&gt;=Population!L$25,ROUND(K41*(1-Mortalité!K42)+Migration!K42*(1-(Mortalité!K42/2)),0),"-")</f>
        <v>-</v>
      </c>
      <c r="M42" s="14" t="str">
        <f>IF('Mode d''emploi'!$F$6&gt;=Population!M$25,ROUND(L41*(1-Mortalité!L42)+Migration!L42*(1-(Mortalité!L42/2)),0),"-")</f>
        <v>-</v>
      </c>
      <c r="N42" s="14" t="str">
        <f>IF('Mode d''emploi'!$F$6&gt;=Population!N$25,ROUND(M41*(1-Mortalité!M42)+Migration!M42*(1-(Mortalité!M42/2)),0),"-")</f>
        <v>-</v>
      </c>
      <c r="O42" s="14" t="str">
        <f>IF('Mode d''emploi'!$F$6&gt;=Population!O$25,ROUND(N41*(1-Mortalité!N42)+Migration!N42*(1-(Mortalité!N42/2)),0),"-")</f>
        <v>-</v>
      </c>
      <c r="P42" s="14" t="str">
        <f>IF('Mode d''emploi'!$F$6&gt;=Population!P$25,ROUND(O41*(1-Mortalité!O42)+Migration!O42*(1-(Mortalité!O42/2)),0),"-")</f>
        <v>-</v>
      </c>
      <c r="Q42" s="14" t="str">
        <f>IF('Mode d''emploi'!$F$6&gt;=Population!Q$25,ROUND(P41*(1-Mortalité!P42)+Migration!P42*(1-(Mortalité!P42/2)),0),"-")</f>
        <v>-</v>
      </c>
      <c r="R42" s="14" t="str">
        <f>IF('Mode d''emploi'!$F$6&gt;=Population!R$25,ROUND(Q41*(1-Mortalité!Q42)+Migration!Q42*(1-(Mortalité!Q42/2)),0),"-")</f>
        <v>-</v>
      </c>
      <c r="S42" s="14" t="str">
        <f>IF('Mode d''emploi'!$F$6&gt;=Population!S$25,ROUND(R41*(1-Mortalité!R42)+Migration!R42*(1-(Mortalité!R42/2)),0),"-")</f>
        <v>-</v>
      </c>
      <c r="T42" s="14" t="str">
        <f>IF('Mode d''emploi'!$F$6&gt;=Population!T$25,ROUND(S41*(1-Mortalité!S42)+Migration!S42*(1-(Mortalité!S42/2)),0),"-")</f>
        <v>-</v>
      </c>
    </row>
    <row r="43" spans="2:20" x14ac:dyDescent="0.25">
      <c r="B43" s="5" t="s">
        <v>17</v>
      </c>
      <c r="C43" s="16">
        <v>86561</v>
      </c>
      <c r="D43" s="14" t="str">
        <f>IF('Mode d''emploi'!$F$6&gt;=Population!D$25,ROUND(C42*(1-Mortalité!C43)+Migration!C43*(1-(Mortalité!C43/2)),0),"-")</f>
        <v>-</v>
      </c>
      <c r="E43" s="14" t="str">
        <f>IF('Mode d''emploi'!$F$6&gt;=Population!E$25,ROUND(D42*(1-Mortalité!D43)+Migration!D43*(1-(Mortalité!D43/2)),0),"-")</f>
        <v>-</v>
      </c>
      <c r="F43" s="14" t="str">
        <f>IF('Mode d''emploi'!$F$6&gt;=Population!F$25,ROUND(E42*(1-Mortalité!E43)+Migration!E43*(1-(Mortalité!E43/2)),0),"-")</f>
        <v>-</v>
      </c>
      <c r="G43" s="14" t="str">
        <f>IF('Mode d''emploi'!$F$6&gt;=Population!G$25,ROUND(F42*(1-Mortalité!F43)+Migration!F43*(1-(Mortalité!F43/2)),0),"-")</f>
        <v>-</v>
      </c>
      <c r="H43" s="14" t="str">
        <f>IF('Mode d''emploi'!$F$6&gt;=Population!H$25,ROUND(G42*(1-Mortalité!G43)+Migration!G43*(1-(Mortalité!G43/2)),0),"-")</f>
        <v>-</v>
      </c>
      <c r="I43" s="14" t="str">
        <f>IF('Mode d''emploi'!$F$6&gt;=Population!I$25,ROUND(H42*(1-Mortalité!H43)+Migration!H43*(1-(Mortalité!H43/2)),0),"-")</f>
        <v>-</v>
      </c>
      <c r="J43" s="14" t="str">
        <f>IF('Mode d''emploi'!$F$6&gt;=Population!J$25,ROUND(I42*(1-Mortalité!I43)+Migration!I43*(1-(Mortalité!I43/2)),0),"-")</f>
        <v>-</v>
      </c>
      <c r="K43" s="14" t="str">
        <f>IF('Mode d''emploi'!$F$6&gt;=Population!K$25,ROUND(J42*(1-Mortalité!J43)+Migration!J43*(1-(Mortalité!J43/2)),0),"-")</f>
        <v>-</v>
      </c>
      <c r="L43" s="14" t="str">
        <f>IF('Mode d''emploi'!$F$6&gt;=Population!L$25,ROUND(K42*(1-Mortalité!K43)+Migration!K43*(1-(Mortalité!K43/2)),0),"-")</f>
        <v>-</v>
      </c>
      <c r="M43" s="14" t="str">
        <f>IF('Mode d''emploi'!$F$6&gt;=Population!M$25,ROUND(L42*(1-Mortalité!L43)+Migration!L43*(1-(Mortalité!L43/2)),0),"-")</f>
        <v>-</v>
      </c>
      <c r="N43" s="14" t="str">
        <f>IF('Mode d''emploi'!$F$6&gt;=Population!N$25,ROUND(M42*(1-Mortalité!M43)+Migration!M43*(1-(Mortalité!M43/2)),0),"-")</f>
        <v>-</v>
      </c>
      <c r="O43" s="14" t="str">
        <f>IF('Mode d''emploi'!$F$6&gt;=Population!O$25,ROUND(N42*(1-Mortalité!N43)+Migration!N43*(1-(Mortalité!N43/2)),0),"-")</f>
        <v>-</v>
      </c>
      <c r="P43" s="14" t="str">
        <f>IF('Mode d''emploi'!$F$6&gt;=Population!P$25,ROUND(O42*(1-Mortalité!O43)+Migration!O43*(1-(Mortalité!O43/2)),0),"-")</f>
        <v>-</v>
      </c>
      <c r="Q43" s="14" t="str">
        <f>IF('Mode d''emploi'!$F$6&gt;=Population!Q$25,ROUND(P42*(1-Mortalité!P43)+Migration!P43*(1-(Mortalité!P43/2)),0),"-")</f>
        <v>-</v>
      </c>
      <c r="R43" s="14" t="str">
        <f>IF('Mode d''emploi'!$F$6&gt;=Population!R$25,ROUND(Q42*(1-Mortalité!Q43)+Migration!Q43*(1-(Mortalité!Q43/2)),0),"-")</f>
        <v>-</v>
      </c>
      <c r="S43" s="14" t="str">
        <f>IF('Mode d''emploi'!$F$6&gt;=Population!S$25,ROUND(R42*(1-Mortalité!R43)+Migration!R43*(1-(Mortalité!R43/2)),0),"-")</f>
        <v>-</v>
      </c>
      <c r="T43" s="14" t="str">
        <f>IF('Mode d''emploi'!$F$6&gt;=Population!T$25,ROUND(S42*(1-Mortalité!S43)+Migration!S43*(1-(Mortalité!S43/2)),0),"-")</f>
        <v>-</v>
      </c>
    </row>
    <row r="44" spans="2:20" x14ac:dyDescent="0.25">
      <c r="B44" s="5" t="s">
        <v>18</v>
      </c>
      <c r="C44" s="16">
        <v>41329</v>
      </c>
      <c r="D44" s="14" t="str">
        <f>IF('Mode d''emploi'!$F$6&gt;=Population!D$25,ROUND(C43*(1-Mortalité!C44)+Migration!C44*(1-(Mortalité!C44/2)),0),"-")</f>
        <v>-</v>
      </c>
      <c r="E44" s="14" t="str">
        <f>IF('Mode d''emploi'!$F$6&gt;=Population!E$25,ROUND(D43*(1-Mortalité!D44)+Migration!D44*(1-(Mortalité!D44/2)),0),"-")</f>
        <v>-</v>
      </c>
      <c r="F44" s="14" t="str">
        <f>IF('Mode d''emploi'!$F$6&gt;=Population!F$25,ROUND(E43*(1-Mortalité!E44)+Migration!E44*(1-(Mortalité!E44/2)),0),"-")</f>
        <v>-</v>
      </c>
      <c r="G44" s="14" t="str">
        <f>IF('Mode d''emploi'!$F$6&gt;=Population!G$25,ROUND(F43*(1-Mortalité!F44)+Migration!F44*(1-(Mortalité!F44/2)),0),"-")</f>
        <v>-</v>
      </c>
      <c r="H44" s="14" t="str">
        <f>IF('Mode d''emploi'!$F$6&gt;=Population!H$25,ROUND(G43*(1-Mortalité!G44)+Migration!G44*(1-(Mortalité!G44/2)),0),"-")</f>
        <v>-</v>
      </c>
      <c r="I44" s="14" t="str">
        <f>IF('Mode d''emploi'!$F$6&gt;=Population!I$25,ROUND(H43*(1-Mortalité!H44)+Migration!H44*(1-(Mortalité!H44/2)),0),"-")</f>
        <v>-</v>
      </c>
      <c r="J44" s="14" t="str">
        <f>IF('Mode d''emploi'!$F$6&gt;=Population!J$25,ROUND(I43*(1-Mortalité!I44)+Migration!I44*(1-(Mortalité!I44/2)),0),"-")</f>
        <v>-</v>
      </c>
      <c r="K44" s="14" t="str">
        <f>IF('Mode d''emploi'!$F$6&gt;=Population!K$25,ROUND(J43*(1-Mortalité!J44)+Migration!J44*(1-(Mortalité!J44/2)),0),"-")</f>
        <v>-</v>
      </c>
      <c r="L44" s="14" t="str">
        <f>IF('Mode d''emploi'!$F$6&gt;=Population!L$25,ROUND(K43*(1-Mortalité!K44)+Migration!K44*(1-(Mortalité!K44/2)),0),"-")</f>
        <v>-</v>
      </c>
      <c r="M44" s="14" t="str">
        <f>IF('Mode d''emploi'!$F$6&gt;=Population!M$25,ROUND(L43*(1-Mortalité!L44)+Migration!L44*(1-(Mortalité!L44/2)),0),"-")</f>
        <v>-</v>
      </c>
      <c r="N44" s="14" t="str">
        <f>IF('Mode d''emploi'!$F$6&gt;=Population!N$25,ROUND(M43*(1-Mortalité!M44)+Migration!M44*(1-(Mortalité!M44/2)),0),"-")</f>
        <v>-</v>
      </c>
      <c r="O44" s="14" t="str">
        <f>IF('Mode d''emploi'!$F$6&gt;=Population!O$25,ROUND(N43*(1-Mortalité!N44)+Migration!N44*(1-(Mortalité!N44/2)),0),"-")</f>
        <v>-</v>
      </c>
      <c r="P44" s="14" t="str">
        <f>IF('Mode d''emploi'!$F$6&gt;=Population!P$25,ROUND(O43*(1-Mortalité!O44)+Migration!O44*(1-(Mortalité!O44/2)),0),"-")</f>
        <v>-</v>
      </c>
      <c r="Q44" s="14" t="str">
        <f>IF('Mode d''emploi'!$F$6&gt;=Population!Q$25,ROUND(P43*(1-Mortalité!P44)+Migration!P44*(1-(Mortalité!P44/2)),0),"-")</f>
        <v>-</v>
      </c>
      <c r="R44" s="14" t="str">
        <f>IF('Mode d''emploi'!$F$6&gt;=Population!R$25,ROUND(Q43*(1-Mortalité!Q44)+Migration!Q44*(1-(Mortalité!Q44/2)),0),"-")</f>
        <v>-</v>
      </c>
      <c r="S44" s="14" t="str">
        <f>IF('Mode d''emploi'!$F$6&gt;=Population!S$25,ROUND(R43*(1-Mortalité!R44)+Migration!R44*(1-(Mortalité!R44/2)),0),"-")</f>
        <v>-</v>
      </c>
      <c r="T44" s="14" t="str">
        <f>IF('Mode d''emploi'!$F$6&gt;=Population!T$25,ROUND(S43*(1-Mortalité!S44)+Migration!S44*(1-(Mortalité!S44/2)),0),"-")</f>
        <v>-</v>
      </c>
    </row>
    <row r="45" spans="2:20" x14ac:dyDescent="0.25">
      <c r="B45" s="5" t="s">
        <v>19</v>
      </c>
      <c r="C45" s="16">
        <v>9428</v>
      </c>
      <c r="D45" s="14" t="str">
        <f>IF('Mode d''emploi'!$F$6&gt;=Population!D$25,ROUND(C44*(1-Mortalité!C45)+Migration!C45*(1-(Mortalité!C45/2)),0),"-")</f>
        <v>-</v>
      </c>
      <c r="E45" s="14" t="str">
        <f>IF('Mode d''emploi'!$F$6&gt;=Population!E$25,ROUND(D44*(1-Mortalité!D45)+Migration!D45*(1-(Mortalité!D45/2)),0),"-")</f>
        <v>-</v>
      </c>
      <c r="F45" s="14" t="str">
        <f>IF('Mode d''emploi'!$F$6&gt;=Population!F$25,ROUND(E44*(1-Mortalité!E45)+Migration!E45*(1-(Mortalité!E45/2)),0),"-")</f>
        <v>-</v>
      </c>
      <c r="G45" s="14" t="str">
        <f>IF('Mode d''emploi'!$F$6&gt;=Population!G$25,ROUND(F44*(1-Mortalité!F45)+Migration!F45*(1-(Mortalité!F45/2)),0),"-")</f>
        <v>-</v>
      </c>
      <c r="H45" s="14" t="str">
        <f>IF('Mode d''emploi'!$F$6&gt;=Population!H$25,ROUND(G44*(1-Mortalité!G45)+Migration!G45*(1-(Mortalité!G45/2)),0),"-")</f>
        <v>-</v>
      </c>
      <c r="I45" s="14" t="str">
        <f>IF('Mode d''emploi'!$F$6&gt;=Population!I$25,ROUND(H44*(1-Mortalité!H45)+Migration!H45*(1-(Mortalité!H45/2)),0),"-")</f>
        <v>-</v>
      </c>
      <c r="J45" s="14" t="str">
        <f>IF('Mode d''emploi'!$F$6&gt;=Population!J$25,ROUND(I44*(1-Mortalité!I45)+Migration!I45*(1-(Mortalité!I45/2)),0),"-")</f>
        <v>-</v>
      </c>
      <c r="K45" s="14" t="str">
        <f>IF('Mode d''emploi'!$F$6&gt;=Population!K$25,ROUND(J44*(1-Mortalité!J45)+Migration!J45*(1-(Mortalité!J45/2)),0),"-")</f>
        <v>-</v>
      </c>
      <c r="L45" s="14" t="str">
        <f>IF('Mode d''emploi'!$F$6&gt;=Population!L$25,ROUND(K44*(1-Mortalité!K45)+Migration!K45*(1-(Mortalité!K45/2)),0),"-")</f>
        <v>-</v>
      </c>
      <c r="M45" s="14" t="str">
        <f>IF('Mode d''emploi'!$F$6&gt;=Population!M$25,ROUND(L44*(1-Mortalité!L45)+Migration!L45*(1-(Mortalité!L45/2)),0),"-")</f>
        <v>-</v>
      </c>
      <c r="N45" s="14" t="str">
        <f>IF('Mode d''emploi'!$F$6&gt;=Population!N$25,ROUND(M44*(1-Mortalité!M45)+Migration!M45*(1-(Mortalité!M45/2)),0),"-")</f>
        <v>-</v>
      </c>
      <c r="O45" s="14" t="str">
        <f>IF('Mode d''emploi'!$F$6&gt;=Population!O$25,ROUND(N44*(1-Mortalité!N45)+Migration!N45*(1-(Mortalité!N45/2)),0),"-")</f>
        <v>-</v>
      </c>
      <c r="P45" s="14" t="str">
        <f>IF('Mode d''emploi'!$F$6&gt;=Population!P$25,ROUND(O44*(1-Mortalité!O45)+Migration!O45*(1-(Mortalité!O45/2)),0),"-")</f>
        <v>-</v>
      </c>
      <c r="Q45" s="14" t="str">
        <f>IF('Mode d''emploi'!$F$6&gt;=Population!Q$25,ROUND(P44*(1-Mortalité!P45)+Migration!P45*(1-(Mortalité!P45/2)),0),"-")</f>
        <v>-</v>
      </c>
      <c r="R45" s="14" t="str">
        <f>IF('Mode d''emploi'!$F$6&gt;=Population!R$25,ROUND(Q44*(1-Mortalité!Q45)+Migration!Q45*(1-(Mortalité!Q45/2)),0),"-")</f>
        <v>-</v>
      </c>
      <c r="S45" s="14" t="str">
        <f>IF('Mode d''emploi'!$F$6&gt;=Population!S$25,ROUND(R44*(1-Mortalité!R45)+Migration!R45*(1-(Mortalité!R45/2)),0),"-")</f>
        <v>-</v>
      </c>
      <c r="T45" s="14" t="str">
        <f>IF('Mode d''emploi'!$F$6&gt;=Population!T$25,ROUND(S44*(1-Mortalité!S45)+Migration!S45*(1-(Mortalité!S45/2)),0),"-")</f>
        <v>-</v>
      </c>
    </row>
    <row r="46" spans="2:20" ht="14.4" thickBot="1" x14ac:dyDescent="0.3">
      <c r="B46" s="6" t="s">
        <v>20</v>
      </c>
      <c r="C46" s="16">
        <v>1272</v>
      </c>
      <c r="D46" s="14" t="str">
        <f>IF('Mode d''emploi'!$F$6&gt;=Population!D$25,ROUND((C45+C46)*(1-Mortalité!C46)+Migration!C46*(1-(Mortalité!C46/2)),0),"-")</f>
        <v>-</v>
      </c>
      <c r="E46" s="14" t="str">
        <f>IF('Mode d''emploi'!$F$6&gt;=Population!E$25,ROUND((D45+D46)*(1-Mortalité!D46)+Migration!D46*(1-(Mortalité!D46/2)),0),"-")</f>
        <v>-</v>
      </c>
      <c r="F46" s="14" t="str">
        <f>IF('Mode d''emploi'!$F$6&gt;=Population!F$25,ROUND((E45+E46)*(1-Mortalité!E46)+Migration!E46*(1-(Mortalité!E46/2)),0),"-")</f>
        <v>-</v>
      </c>
      <c r="G46" s="14" t="str">
        <f>IF('Mode d''emploi'!$F$6&gt;=Population!G$25,ROUND((F45+F46)*(1-Mortalité!F46)+Migration!F46*(1-(Mortalité!F46/2)),0),"-")</f>
        <v>-</v>
      </c>
      <c r="H46" s="14" t="str">
        <f>IF('Mode d''emploi'!$F$6&gt;=Population!H$25,ROUND((G45+G46)*(1-Mortalité!G46)+Migration!G46*(1-(Mortalité!G46/2)),0),"-")</f>
        <v>-</v>
      </c>
      <c r="I46" s="14" t="str">
        <f>IF('Mode d''emploi'!$F$6&gt;=Population!I$25,ROUND((H45+H46)*(1-Mortalité!H46)+Migration!H46*(1-(Mortalité!H46/2)),0),"-")</f>
        <v>-</v>
      </c>
      <c r="J46" s="14" t="str">
        <f>IF('Mode d''emploi'!$F$6&gt;=Population!J$25,ROUND((I45+I46)*(1-Mortalité!I46)+Migration!I46*(1-(Mortalité!I46/2)),0),"-")</f>
        <v>-</v>
      </c>
      <c r="K46" s="14" t="str">
        <f>IF('Mode d''emploi'!$F$6&gt;=Population!K$25,ROUND((J45+J46)*(1-Mortalité!J46)+Migration!J46*(1-(Mortalité!J46/2)),0),"-")</f>
        <v>-</v>
      </c>
      <c r="L46" s="14" t="str">
        <f>IF('Mode d''emploi'!$F$6&gt;=Population!L$25,ROUND((K45+K46)*(1-Mortalité!K46)+Migration!K46*(1-(Mortalité!K46/2)),0),"-")</f>
        <v>-</v>
      </c>
      <c r="M46" s="14" t="str">
        <f>IF('Mode d''emploi'!$F$6&gt;=Population!M$25,ROUND((L45+L46)*(1-Mortalité!L46)+Migration!L46*(1-(Mortalité!L46/2)),0),"-")</f>
        <v>-</v>
      </c>
      <c r="N46" s="14" t="str">
        <f>IF('Mode d''emploi'!$F$6&gt;=Population!N$25,ROUND((M45+M46)*(1-Mortalité!M46)+Migration!M46*(1-(Mortalité!M46/2)),0),"-")</f>
        <v>-</v>
      </c>
      <c r="O46" s="14" t="str">
        <f>IF('Mode d''emploi'!$F$6&gt;=Population!O$25,ROUND((N45+N46)*(1-Mortalité!N46)+Migration!N46*(1-(Mortalité!N46/2)),0),"-")</f>
        <v>-</v>
      </c>
      <c r="P46" s="14" t="str">
        <f>IF('Mode d''emploi'!$F$6&gt;=Population!P$25,ROUND((O45+O46)*(1-Mortalité!O46)+Migration!O46*(1-(Mortalité!O46/2)),0),"-")</f>
        <v>-</v>
      </c>
      <c r="Q46" s="14" t="str">
        <f>IF('Mode d''emploi'!$F$6&gt;=Population!Q$25,ROUND((P45+P46)*(1-Mortalité!P46)+Migration!P46*(1-(Mortalité!P46/2)),0),"-")</f>
        <v>-</v>
      </c>
      <c r="R46" s="14" t="str">
        <f>IF('Mode d''emploi'!$F$6&gt;=Population!R$25,ROUND((Q45+Q46)*(1-Mortalité!Q46)+Migration!Q46*(1-(Mortalité!Q46/2)),0),"-")</f>
        <v>-</v>
      </c>
      <c r="S46" s="14" t="str">
        <f>IF('Mode d''emploi'!$F$6&gt;=Population!S$25,ROUND((R45+R46)*(1-Mortalité!R46)+Migration!R46*(1-(Mortalité!R46/2)),0),"-")</f>
        <v>-</v>
      </c>
      <c r="T46" s="14" t="str">
        <f>IF('Mode d''emploi'!$F$6&gt;=Population!T$25,ROUND((S45+S46)*(1-Mortalité!S46)+Migration!S46*(1-(Mortalité!S46/2)),0),"-")</f>
        <v>-</v>
      </c>
    </row>
    <row r="48" spans="2:20" x14ac:dyDescent="0.25">
      <c r="B48" t="s">
        <v>46</v>
      </c>
      <c r="C48" s="14">
        <f>IF('Mode d''emploi'!$F$6&gt;=Population!C2,SUM(C3:C23)+SUM(C26:C46),"-")</f>
        <v>8327126</v>
      </c>
      <c r="D48" s="14" t="str">
        <f>IF('Mode d''emploi'!$F$6&gt;=Population!D2,SUM(D3:D23)+SUM(D26:D46),"-")</f>
        <v>-</v>
      </c>
      <c r="E48" s="14" t="str">
        <f>IF('Mode d''emploi'!$F$6&gt;=Population!E2,SUM(E3:E23)+SUM(E26:E46),"-")</f>
        <v>-</v>
      </c>
      <c r="F48" s="14" t="str">
        <f>IF('Mode d''emploi'!$F$6&gt;=Population!F2,SUM(F3:F23)+SUM(F26:F46),"-")</f>
        <v>-</v>
      </c>
      <c r="G48" s="14" t="str">
        <f>IF('Mode d''emploi'!$F$6&gt;=Population!G2,SUM(G3:G23)+SUM(G26:G46),"-")</f>
        <v>-</v>
      </c>
      <c r="H48" s="14" t="str">
        <f>IF('Mode d''emploi'!$F$6&gt;=Population!H2,SUM(H3:H23)+SUM(H26:H46),"-")</f>
        <v>-</v>
      </c>
      <c r="I48" s="14" t="str">
        <f>IF('Mode d''emploi'!$F$6&gt;=Population!I2,SUM(I3:I23)+SUM(I26:I46),"-")</f>
        <v>-</v>
      </c>
      <c r="J48" s="14" t="str">
        <f>IF('Mode d''emploi'!$F$6&gt;=Population!J2,SUM(J3:J23)+SUM(J26:J46),"-")</f>
        <v>-</v>
      </c>
      <c r="K48" s="14" t="str">
        <f>IF('Mode d''emploi'!$F$6&gt;=Population!K2,SUM(K3:K23)+SUM(K26:K46),"-")</f>
        <v>-</v>
      </c>
      <c r="L48" s="14" t="str">
        <f>IF('Mode d''emploi'!$F$6&gt;=Population!L2,SUM(L3:L23)+SUM(L26:L46),"-")</f>
        <v>-</v>
      </c>
      <c r="M48" s="14" t="str">
        <f>IF('Mode d''emploi'!$F$6&gt;=Population!M2,SUM(M3:M23)+SUM(M26:M46),"-")</f>
        <v>-</v>
      </c>
      <c r="N48" s="14" t="str">
        <f>IF('Mode d''emploi'!$F$6&gt;=Population!N2,SUM(N3:N23)+SUM(N26:N46),"-")</f>
        <v>-</v>
      </c>
      <c r="O48" s="14" t="str">
        <f>IF('Mode d''emploi'!$F$6&gt;=Population!O2,SUM(O3:O23)+SUM(O26:O46),"-")</f>
        <v>-</v>
      </c>
      <c r="P48" s="14" t="str">
        <f>IF('Mode d''emploi'!$F$6&gt;=Population!P2,SUM(P3:P23)+SUM(P26:P46),"-")</f>
        <v>-</v>
      </c>
      <c r="Q48" s="14" t="str">
        <f>IF('Mode d''emploi'!$F$6&gt;=Population!Q2,SUM(Q3:Q23)+SUM(Q26:Q46),"-")</f>
        <v>-</v>
      </c>
      <c r="R48" s="14" t="str">
        <f>IF('Mode d''emploi'!$F$6&gt;=Population!R2,SUM(R3:R23)+SUM(R26:R46),"-")</f>
        <v>-</v>
      </c>
      <c r="S48" s="14" t="str">
        <f>IF('Mode d''emploi'!$F$6&gt;=Population!S2,SUM(S3:S23)+SUM(S26:S46),"-")</f>
        <v>-</v>
      </c>
      <c r="T48" s="14" t="str">
        <f>IF('Mode d''emploi'!$F$6&gt;=Population!T2,SUM(T3:T23)+SUM(T26:T46),"-")</f>
        <v>-</v>
      </c>
    </row>
    <row r="50" spans="2:20" ht="14.4" thickBot="1" x14ac:dyDescent="0.3">
      <c r="B50" t="s">
        <v>46</v>
      </c>
    </row>
    <row r="51" spans="2:20" x14ac:dyDescent="0.25">
      <c r="B51" s="11" t="s">
        <v>7</v>
      </c>
      <c r="C51" s="14">
        <f>IF(C3="-","-",C3+C26)</f>
        <v>423031</v>
      </c>
      <c r="D51" s="14" t="str">
        <f t="shared" ref="D51:T66" si="0">IF(D3="-","-",D3+D26)</f>
        <v>-</v>
      </c>
      <c r="E51" s="14" t="str">
        <f t="shared" si="0"/>
        <v>-</v>
      </c>
      <c r="F51" s="14" t="str">
        <f t="shared" si="0"/>
        <v>-</v>
      </c>
      <c r="G51" s="14" t="str">
        <f t="shared" si="0"/>
        <v>-</v>
      </c>
      <c r="H51" s="14" t="str">
        <f t="shared" si="0"/>
        <v>-</v>
      </c>
      <c r="I51" s="14" t="str">
        <f t="shared" si="0"/>
        <v>-</v>
      </c>
      <c r="J51" s="14" t="str">
        <f t="shared" si="0"/>
        <v>-</v>
      </c>
      <c r="K51" s="14" t="str">
        <f t="shared" si="0"/>
        <v>-</v>
      </c>
      <c r="L51" s="14" t="str">
        <f t="shared" si="0"/>
        <v>-</v>
      </c>
      <c r="M51" s="14" t="str">
        <f t="shared" si="0"/>
        <v>-</v>
      </c>
      <c r="N51" s="14" t="str">
        <f t="shared" si="0"/>
        <v>-</v>
      </c>
      <c r="O51" s="14" t="str">
        <f t="shared" si="0"/>
        <v>-</v>
      </c>
      <c r="P51" s="14" t="str">
        <f t="shared" si="0"/>
        <v>-</v>
      </c>
      <c r="Q51" s="14" t="str">
        <f t="shared" si="0"/>
        <v>-</v>
      </c>
      <c r="R51" s="14" t="str">
        <f t="shared" si="0"/>
        <v>-</v>
      </c>
      <c r="S51" s="14" t="str">
        <f t="shared" si="0"/>
        <v>-</v>
      </c>
      <c r="T51" s="14" t="str">
        <f t="shared" si="0"/>
        <v>-</v>
      </c>
    </row>
    <row r="52" spans="2:20" x14ac:dyDescent="0.25">
      <c r="B52" s="12" t="s">
        <v>8</v>
      </c>
      <c r="C52" s="14">
        <f t="shared" ref="C52:R71" si="1">IF(C4="-","-",C4+C27)</f>
        <v>413257</v>
      </c>
      <c r="D52" s="14" t="str">
        <f t="shared" si="1"/>
        <v>-</v>
      </c>
      <c r="E52" s="14" t="str">
        <f t="shared" si="1"/>
        <v>-</v>
      </c>
      <c r="F52" s="14" t="str">
        <f t="shared" si="1"/>
        <v>-</v>
      </c>
      <c r="G52" s="14" t="str">
        <f t="shared" si="1"/>
        <v>-</v>
      </c>
      <c r="H52" s="14" t="str">
        <f t="shared" si="1"/>
        <v>-</v>
      </c>
      <c r="I52" s="14" t="str">
        <f t="shared" si="1"/>
        <v>-</v>
      </c>
      <c r="J52" s="14" t="str">
        <f t="shared" si="1"/>
        <v>-</v>
      </c>
      <c r="K52" s="14" t="str">
        <f t="shared" si="1"/>
        <v>-</v>
      </c>
      <c r="L52" s="14" t="str">
        <f t="shared" si="1"/>
        <v>-</v>
      </c>
      <c r="M52" s="14" t="str">
        <f t="shared" si="1"/>
        <v>-</v>
      </c>
      <c r="N52" s="14" t="str">
        <f t="shared" si="1"/>
        <v>-</v>
      </c>
      <c r="O52" s="14" t="str">
        <f t="shared" si="1"/>
        <v>-</v>
      </c>
      <c r="P52" s="14" t="str">
        <f t="shared" si="1"/>
        <v>-</v>
      </c>
      <c r="Q52" s="14" t="str">
        <f t="shared" si="1"/>
        <v>-</v>
      </c>
      <c r="R52" s="14" t="str">
        <f t="shared" si="1"/>
        <v>-</v>
      </c>
      <c r="S52" s="14" t="str">
        <f t="shared" si="0"/>
        <v>-</v>
      </c>
      <c r="T52" s="14" t="str">
        <f t="shared" si="0"/>
        <v>-</v>
      </c>
    </row>
    <row r="53" spans="2:20" x14ac:dyDescent="0.25">
      <c r="B53" s="13" t="s">
        <v>9</v>
      </c>
      <c r="C53" s="14">
        <f t="shared" si="1"/>
        <v>400504</v>
      </c>
      <c r="D53" s="14" t="str">
        <f t="shared" si="0"/>
        <v>-</v>
      </c>
      <c r="E53" s="14" t="str">
        <f t="shared" si="0"/>
        <v>-</v>
      </c>
      <c r="F53" s="14" t="str">
        <f t="shared" si="0"/>
        <v>-</v>
      </c>
      <c r="G53" s="14" t="str">
        <f t="shared" si="0"/>
        <v>-</v>
      </c>
      <c r="H53" s="14" t="str">
        <f t="shared" si="0"/>
        <v>-</v>
      </c>
      <c r="I53" s="14" t="str">
        <f t="shared" si="0"/>
        <v>-</v>
      </c>
      <c r="J53" s="14" t="str">
        <f t="shared" si="0"/>
        <v>-</v>
      </c>
      <c r="K53" s="14" t="str">
        <f t="shared" si="0"/>
        <v>-</v>
      </c>
      <c r="L53" s="14" t="str">
        <f t="shared" si="0"/>
        <v>-</v>
      </c>
      <c r="M53" s="14" t="str">
        <f t="shared" si="0"/>
        <v>-</v>
      </c>
      <c r="N53" s="14" t="str">
        <f t="shared" si="0"/>
        <v>-</v>
      </c>
      <c r="O53" s="14" t="str">
        <f t="shared" si="0"/>
        <v>-</v>
      </c>
      <c r="P53" s="14" t="str">
        <f t="shared" si="0"/>
        <v>-</v>
      </c>
      <c r="Q53" s="14" t="str">
        <f t="shared" si="0"/>
        <v>-</v>
      </c>
      <c r="R53" s="14" t="str">
        <f t="shared" si="0"/>
        <v>-</v>
      </c>
      <c r="S53" s="14" t="str">
        <f t="shared" si="0"/>
        <v>-</v>
      </c>
      <c r="T53" s="14" t="str">
        <f t="shared" si="0"/>
        <v>-</v>
      </c>
    </row>
    <row r="54" spans="2:20" x14ac:dyDescent="0.25">
      <c r="B54" s="5" t="s">
        <v>0</v>
      </c>
      <c r="C54" s="14">
        <f t="shared" si="1"/>
        <v>438711</v>
      </c>
      <c r="D54" s="14" t="str">
        <f t="shared" si="0"/>
        <v>-</v>
      </c>
      <c r="E54" s="14" t="str">
        <f t="shared" si="0"/>
        <v>-</v>
      </c>
      <c r="F54" s="14" t="str">
        <f t="shared" si="0"/>
        <v>-</v>
      </c>
      <c r="G54" s="14" t="str">
        <f t="shared" si="0"/>
        <v>-</v>
      </c>
      <c r="H54" s="14" t="str">
        <f t="shared" si="0"/>
        <v>-</v>
      </c>
      <c r="I54" s="14" t="str">
        <f t="shared" si="0"/>
        <v>-</v>
      </c>
      <c r="J54" s="14" t="str">
        <f t="shared" si="0"/>
        <v>-</v>
      </c>
      <c r="K54" s="14" t="str">
        <f t="shared" si="0"/>
        <v>-</v>
      </c>
      <c r="L54" s="14" t="str">
        <f t="shared" si="0"/>
        <v>-</v>
      </c>
      <c r="M54" s="14" t="str">
        <f t="shared" si="0"/>
        <v>-</v>
      </c>
      <c r="N54" s="14" t="str">
        <f t="shared" si="0"/>
        <v>-</v>
      </c>
      <c r="O54" s="14" t="str">
        <f t="shared" si="0"/>
        <v>-</v>
      </c>
      <c r="P54" s="14" t="str">
        <f t="shared" si="0"/>
        <v>-</v>
      </c>
      <c r="Q54" s="14" t="str">
        <f t="shared" si="0"/>
        <v>-</v>
      </c>
      <c r="R54" s="14" t="str">
        <f t="shared" si="0"/>
        <v>-</v>
      </c>
      <c r="S54" s="14" t="str">
        <f t="shared" si="0"/>
        <v>-</v>
      </c>
      <c r="T54" s="14" t="str">
        <f t="shared" si="0"/>
        <v>-</v>
      </c>
    </row>
    <row r="55" spans="2:20" x14ac:dyDescent="0.25">
      <c r="B55" s="5" t="s">
        <v>1</v>
      </c>
      <c r="C55" s="14">
        <f t="shared" si="1"/>
        <v>496048</v>
      </c>
      <c r="D55" s="14" t="str">
        <f t="shared" si="0"/>
        <v>-</v>
      </c>
      <c r="E55" s="14" t="str">
        <f t="shared" si="0"/>
        <v>-</v>
      </c>
      <c r="F55" s="14" t="str">
        <f t="shared" si="0"/>
        <v>-</v>
      </c>
      <c r="G55" s="14" t="str">
        <f t="shared" si="0"/>
        <v>-</v>
      </c>
      <c r="H55" s="14" t="str">
        <f t="shared" si="0"/>
        <v>-</v>
      </c>
      <c r="I55" s="14" t="str">
        <f t="shared" si="0"/>
        <v>-</v>
      </c>
      <c r="J55" s="14" t="str">
        <f t="shared" si="0"/>
        <v>-</v>
      </c>
      <c r="K55" s="14" t="str">
        <f t="shared" si="0"/>
        <v>-</v>
      </c>
      <c r="L55" s="14" t="str">
        <f t="shared" si="0"/>
        <v>-</v>
      </c>
      <c r="M55" s="14" t="str">
        <f t="shared" si="0"/>
        <v>-</v>
      </c>
      <c r="N55" s="14" t="str">
        <f t="shared" si="0"/>
        <v>-</v>
      </c>
      <c r="O55" s="14" t="str">
        <f t="shared" si="0"/>
        <v>-</v>
      </c>
      <c r="P55" s="14" t="str">
        <f t="shared" si="0"/>
        <v>-</v>
      </c>
      <c r="Q55" s="14" t="str">
        <f t="shared" si="0"/>
        <v>-</v>
      </c>
      <c r="R55" s="14" t="str">
        <f t="shared" si="0"/>
        <v>-</v>
      </c>
      <c r="S55" s="14" t="str">
        <f t="shared" si="0"/>
        <v>-</v>
      </c>
      <c r="T55" s="14" t="str">
        <f t="shared" si="0"/>
        <v>-</v>
      </c>
    </row>
    <row r="56" spans="2:20" x14ac:dyDescent="0.25">
      <c r="B56" s="5" t="s">
        <v>2</v>
      </c>
      <c r="C56" s="14">
        <f t="shared" si="1"/>
        <v>560587</v>
      </c>
      <c r="D56" s="14" t="str">
        <f t="shared" si="0"/>
        <v>-</v>
      </c>
      <c r="E56" s="14" t="str">
        <f t="shared" si="0"/>
        <v>-</v>
      </c>
      <c r="F56" s="14" t="str">
        <f t="shared" si="0"/>
        <v>-</v>
      </c>
      <c r="G56" s="14" t="str">
        <f t="shared" si="0"/>
        <v>-</v>
      </c>
      <c r="H56" s="14" t="str">
        <f t="shared" si="0"/>
        <v>-</v>
      </c>
      <c r="I56" s="14" t="str">
        <f t="shared" si="0"/>
        <v>-</v>
      </c>
      <c r="J56" s="14" t="str">
        <f t="shared" si="0"/>
        <v>-</v>
      </c>
      <c r="K56" s="14" t="str">
        <f t="shared" si="0"/>
        <v>-</v>
      </c>
      <c r="L56" s="14" t="str">
        <f t="shared" si="0"/>
        <v>-</v>
      </c>
      <c r="M56" s="14" t="str">
        <f t="shared" si="0"/>
        <v>-</v>
      </c>
      <c r="N56" s="14" t="str">
        <f t="shared" si="0"/>
        <v>-</v>
      </c>
      <c r="O56" s="14" t="str">
        <f t="shared" si="0"/>
        <v>-</v>
      </c>
      <c r="P56" s="14" t="str">
        <f t="shared" si="0"/>
        <v>-</v>
      </c>
      <c r="Q56" s="14" t="str">
        <f t="shared" si="0"/>
        <v>-</v>
      </c>
      <c r="R56" s="14" t="str">
        <f t="shared" si="0"/>
        <v>-</v>
      </c>
      <c r="S56" s="14" t="str">
        <f t="shared" si="0"/>
        <v>-</v>
      </c>
      <c r="T56" s="14" t="str">
        <f t="shared" si="0"/>
        <v>-</v>
      </c>
    </row>
    <row r="57" spans="2:20" x14ac:dyDescent="0.25">
      <c r="B57" s="5" t="s">
        <v>3</v>
      </c>
      <c r="C57" s="14">
        <f t="shared" si="1"/>
        <v>589284</v>
      </c>
      <c r="D57" s="14" t="str">
        <f t="shared" si="0"/>
        <v>-</v>
      </c>
      <c r="E57" s="14" t="str">
        <f t="shared" si="0"/>
        <v>-</v>
      </c>
      <c r="F57" s="14" t="str">
        <f t="shared" si="0"/>
        <v>-</v>
      </c>
      <c r="G57" s="14" t="str">
        <f t="shared" si="0"/>
        <v>-</v>
      </c>
      <c r="H57" s="14" t="str">
        <f t="shared" si="0"/>
        <v>-</v>
      </c>
      <c r="I57" s="14" t="str">
        <f t="shared" si="0"/>
        <v>-</v>
      </c>
      <c r="J57" s="14" t="str">
        <f t="shared" si="0"/>
        <v>-</v>
      </c>
      <c r="K57" s="14" t="str">
        <f t="shared" si="0"/>
        <v>-</v>
      </c>
      <c r="L57" s="14" t="str">
        <f t="shared" si="0"/>
        <v>-</v>
      </c>
      <c r="M57" s="14" t="str">
        <f t="shared" si="0"/>
        <v>-</v>
      </c>
      <c r="N57" s="14" t="str">
        <f t="shared" si="0"/>
        <v>-</v>
      </c>
      <c r="O57" s="14" t="str">
        <f t="shared" si="0"/>
        <v>-</v>
      </c>
      <c r="P57" s="14" t="str">
        <f t="shared" si="0"/>
        <v>-</v>
      </c>
      <c r="Q57" s="14" t="str">
        <f t="shared" si="0"/>
        <v>-</v>
      </c>
      <c r="R57" s="14" t="str">
        <f t="shared" si="0"/>
        <v>-</v>
      </c>
      <c r="S57" s="14" t="str">
        <f t="shared" si="0"/>
        <v>-</v>
      </c>
      <c r="T57" s="14" t="str">
        <f t="shared" si="0"/>
        <v>-</v>
      </c>
    </row>
    <row r="58" spans="2:20" x14ac:dyDescent="0.25">
      <c r="B58" s="5" t="s">
        <v>4</v>
      </c>
      <c r="C58" s="14">
        <f t="shared" si="1"/>
        <v>579210</v>
      </c>
      <c r="D58" s="14" t="str">
        <f t="shared" si="0"/>
        <v>-</v>
      </c>
      <c r="E58" s="14" t="str">
        <f t="shared" si="0"/>
        <v>-</v>
      </c>
      <c r="F58" s="14" t="str">
        <f t="shared" si="0"/>
        <v>-</v>
      </c>
      <c r="G58" s="14" t="str">
        <f t="shared" si="0"/>
        <v>-</v>
      </c>
      <c r="H58" s="14" t="str">
        <f t="shared" si="0"/>
        <v>-</v>
      </c>
      <c r="I58" s="14" t="str">
        <f t="shared" si="0"/>
        <v>-</v>
      </c>
      <c r="J58" s="14" t="str">
        <f t="shared" si="0"/>
        <v>-</v>
      </c>
      <c r="K58" s="14" t="str">
        <f t="shared" si="0"/>
        <v>-</v>
      </c>
      <c r="L58" s="14" t="str">
        <f t="shared" si="0"/>
        <v>-</v>
      </c>
      <c r="M58" s="14" t="str">
        <f t="shared" si="0"/>
        <v>-</v>
      </c>
      <c r="N58" s="14" t="str">
        <f t="shared" si="0"/>
        <v>-</v>
      </c>
      <c r="O58" s="14" t="str">
        <f t="shared" si="0"/>
        <v>-</v>
      </c>
      <c r="P58" s="14" t="str">
        <f t="shared" si="0"/>
        <v>-</v>
      </c>
      <c r="Q58" s="14" t="str">
        <f t="shared" si="0"/>
        <v>-</v>
      </c>
      <c r="R58" s="14" t="str">
        <f t="shared" si="0"/>
        <v>-</v>
      </c>
      <c r="S58" s="14" t="str">
        <f t="shared" si="0"/>
        <v>-</v>
      </c>
      <c r="T58" s="14" t="str">
        <f t="shared" si="0"/>
        <v>-</v>
      </c>
    </row>
    <row r="59" spans="2:20" x14ac:dyDescent="0.25">
      <c r="B59" s="5" t="s">
        <v>5</v>
      </c>
      <c r="C59" s="14">
        <f t="shared" si="1"/>
        <v>590167</v>
      </c>
      <c r="D59" s="14" t="str">
        <f t="shared" si="0"/>
        <v>-</v>
      </c>
      <c r="E59" s="14" t="str">
        <f t="shared" si="0"/>
        <v>-</v>
      </c>
      <c r="F59" s="14" t="str">
        <f t="shared" si="0"/>
        <v>-</v>
      </c>
      <c r="G59" s="14" t="str">
        <f t="shared" si="0"/>
        <v>-</v>
      </c>
      <c r="H59" s="14" t="str">
        <f t="shared" si="0"/>
        <v>-</v>
      </c>
      <c r="I59" s="14" t="str">
        <f t="shared" si="0"/>
        <v>-</v>
      </c>
      <c r="J59" s="14" t="str">
        <f t="shared" si="0"/>
        <v>-</v>
      </c>
      <c r="K59" s="14" t="str">
        <f t="shared" si="0"/>
        <v>-</v>
      </c>
      <c r="L59" s="14" t="str">
        <f t="shared" si="0"/>
        <v>-</v>
      </c>
      <c r="M59" s="14" t="str">
        <f t="shared" si="0"/>
        <v>-</v>
      </c>
      <c r="N59" s="14" t="str">
        <f t="shared" si="0"/>
        <v>-</v>
      </c>
      <c r="O59" s="14" t="str">
        <f t="shared" si="0"/>
        <v>-</v>
      </c>
      <c r="P59" s="14" t="str">
        <f t="shared" si="0"/>
        <v>-</v>
      </c>
      <c r="Q59" s="14" t="str">
        <f t="shared" si="0"/>
        <v>-</v>
      </c>
      <c r="R59" s="14" t="str">
        <f t="shared" si="0"/>
        <v>-</v>
      </c>
      <c r="S59" s="14" t="str">
        <f t="shared" si="0"/>
        <v>-</v>
      </c>
      <c r="T59" s="14" t="str">
        <f t="shared" si="0"/>
        <v>-</v>
      </c>
    </row>
    <row r="60" spans="2:20" x14ac:dyDescent="0.25">
      <c r="B60" s="5" t="s">
        <v>6</v>
      </c>
      <c r="C60" s="14">
        <f t="shared" si="1"/>
        <v>654245</v>
      </c>
      <c r="D60" s="14" t="str">
        <f t="shared" si="0"/>
        <v>-</v>
      </c>
      <c r="E60" s="14" t="str">
        <f t="shared" si="0"/>
        <v>-</v>
      </c>
      <c r="F60" s="14" t="str">
        <f t="shared" si="0"/>
        <v>-</v>
      </c>
      <c r="G60" s="14" t="str">
        <f t="shared" si="0"/>
        <v>-</v>
      </c>
      <c r="H60" s="14" t="str">
        <f t="shared" si="0"/>
        <v>-</v>
      </c>
      <c r="I60" s="14" t="str">
        <f t="shared" si="0"/>
        <v>-</v>
      </c>
      <c r="J60" s="14" t="str">
        <f t="shared" si="0"/>
        <v>-</v>
      </c>
      <c r="K60" s="14" t="str">
        <f t="shared" si="0"/>
        <v>-</v>
      </c>
      <c r="L60" s="14" t="str">
        <f t="shared" si="0"/>
        <v>-</v>
      </c>
      <c r="M60" s="14" t="str">
        <f t="shared" si="0"/>
        <v>-</v>
      </c>
      <c r="N60" s="14" t="str">
        <f t="shared" si="0"/>
        <v>-</v>
      </c>
      <c r="O60" s="14" t="str">
        <f t="shared" si="0"/>
        <v>-</v>
      </c>
      <c r="P60" s="14" t="str">
        <f t="shared" si="0"/>
        <v>-</v>
      </c>
      <c r="Q60" s="14" t="str">
        <f t="shared" si="0"/>
        <v>-</v>
      </c>
      <c r="R60" s="14" t="str">
        <f t="shared" si="0"/>
        <v>-</v>
      </c>
      <c r="S60" s="14" t="str">
        <f t="shared" si="0"/>
        <v>-</v>
      </c>
      <c r="T60" s="14" t="str">
        <f t="shared" si="0"/>
        <v>-</v>
      </c>
    </row>
    <row r="61" spans="2:20" x14ac:dyDescent="0.25">
      <c r="B61" s="5" t="s">
        <v>10</v>
      </c>
      <c r="C61" s="14">
        <f t="shared" si="1"/>
        <v>657774</v>
      </c>
      <c r="D61" s="14" t="str">
        <f t="shared" si="0"/>
        <v>-</v>
      </c>
      <c r="E61" s="14" t="str">
        <f t="shared" si="0"/>
        <v>-</v>
      </c>
      <c r="F61" s="14" t="str">
        <f t="shared" si="0"/>
        <v>-</v>
      </c>
      <c r="G61" s="14" t="str">
        <f t="shared" si="0"/>
        <v>-</v>
      </c>
      <c r="H61" s="14" t="str">
        <f t="shared" si="0"/>
        <v>-</v>
      </c>
      <c r="I61" s="14" t="str">
        <f t="shared" si="0"/>
        <v>-</v>
      </c>
      <c r="J61" s="14" t="str">
        <f t="shared" si="0"/>
        <v>-</v>
      </c>
      <c r="K61" s="14" t="str">
        <f t="shared" si="0"/>
        <v>-</v>
      </c>
      <c r="L61" s="14" t="str">
        <f t="shared" si="0"/>
        <v>-</v>
      </c>
      <c r="M61" s="14" t="str">
        <f t="shared" si="0"/>
        <v>-</v>
      </c>
      <c r="N61" s="14" t="str">
        <f t="shared" si="0"/>
        <v>-</v>
      </c>
      <c r="O61" s="14" t="str">
        <f t="shared" si="0"/>
        <v>-</v>
      </c>
      <c r="P61" s="14" t="str">
        <f t="shared" si="0"/>
        <v>-</v>
      </c>
      <c r="Q61" s="14" t="str">
        <f t="shared" si="0"/>
        <v>-</v>
      </c>
      <c r="R61" s="14" t="str">
        <f t="shared" si="0"/>
        <v>-</v>
      </c>
      <c r="S61" s="14" t="str">
        <f t="shared" si="0"/>
        <v>-</v>
      </c>
      <c r="T61" s="14" t="str">
        <f t="shared" si="0"/>
        <v>-</v>
      </c>
    </row>
    <row r="62" spans="2:20" x14ac:dyDescent="0.25">
      <c r="B62" s="5" t="s">
        <v>11</v>
      </c>
      <c r="C62" s="14">
        <f t="shared" si="1"/>
        <v>560277</v>
      </c>
      <c r="D62" s="14" t="str">
        <f t="shared" si="0"/>
        <v>-</v>
      </c>
      <c r="E62" s="14" t="str">
        <f t="shared" si="0"/>
        <v>-</v>
      </c>
      <c r="F62" s="14" t="str">
        <f t="shared" si="0"/>
        <v>-</v>
      </c>
      <c r="G62" s="14" t="str">
        <f t="shared" si="0"/>
        <v>-</v>
      </c>
      <c r="H62" s="14" t="str">
        <f t="shared" si="0"/>
        <v>-</v>
      </c>
      <c r="I62" s="14" t="str">
        <f t="shared" si="0"/>
        <v>-</v>
      </c>
      <c r="J62" s="14" t="str">
        <f t="shared" si="0"/>
        <v>-</v>
      </c>
      <c r="K62" s="14" t="str">
        <f t="shared" si="0"/>
        <v>-</v>
      </c>
      <c r="L62" s="14" t="str">
        <f t="shared" si="0"/>
        <v>-</v>
      </c>
      <c r="M62" s="14" t="str">
        <f t="shared" si="0"/>
        <v>-</v>
      </c>
      <c r="N62" s="14" t="str">
        <f t="shared" si="0"/>
        <v>-</v>
      </c>
      <c r="O62" s="14" t="str">
        <f t="shared" si="0"/>
        <v>-</v>
      </c>
      <c r="P62" s="14" t="str">
        <f t="shared" si="0"/>
        <v>-</v>
      </c>
      <c r="Q62" s="14" t="str">
        <f t="shared" si="0"/>
        <v>-</v>
      </c>
      <c r="R62" s="14" t="str">
        <f t="shared" si="0"/>
        <v>-</v>
      </c>
      <c r="S62" s="14" t="str">
        <f t="shared" si="0"/>
        <v>-</v>
      </c>
      <c r="T62" s="14" t="str">
        <f t="shared" si="0"/>
        <v>-</v>
      </c>
    </row>
    <row r="63" spans="2:20" x14ac:dyDescent="0.25">
      <c r="B63" s="5" t="s">
        <v>12</v>
      </c>
      <c r="C63" s="14">
        <f t="shared" si="1"/>
        <v>468979</v>
      </c>
      <c r="D63" s="14" t="str">
        <f t="shared" si="0"/>
        <v>-</v>
      </c>
      <c r="E63" s="14" t="str">
        <f t="shared" si="0"/>
        <v>-</v>
      </c>
      <c r="F63" s="14" t="str">
        <f t="shared" si="0"/>
        <v>-</v>
      </c>
      <c r="G63" s="14" t="str">
        <f t="shared" si="0"/>
        <v>-</v>
      </c>
      <c r="H63" s="14" t="str">
        <f t="shared" si="0"/>
        <v>-</v>
      </c>
      <c r="I63" s="14" t="str">
        <f t="shared" si="0"/>
        <v>-</v>
      </c>
      <c r="J63" s="14" t="str">
        <f t="shared" si="0"/>
        <v>-</v>
      </c>
      <c r="K63" s="14" t="str">
        <f t="shared" si="0"/>
        <v>-</v>
      </c>
      <c r="L63" s="14" t="str">
        <f t="shared" si="0"/>
        <v>-</v>
      </c>
      <c r="M63" s="14" t="str">
        <f t="shared" si="0"/>
        <v>-</v>
      </c>
      <c r="N63" s="14" t="str">
        <f t="shared" si="0"/>
        <v>-</v>
      </c>
      <c r="O63" s="14" t="str">
        <f t="shared" si="0"/>
        <v>-</v>
      </c>
      <c r="P63" s="14" t="str">
        <f t="shared" si="0"/>
        <v>-</v>
      </c>
      <c r="Q63" s="14" t="str">
        <f t="shared" si="0"/>
        <v>-</v>
      </c>
      <c r="R63" s="14" t="str">
        <f t="shared" si="0"/>
        <v>-</v>
      </c>
      <c r="S63" s="14" t="str">
        <f t="shared" si="0"/>
        <v>-</v>
      </c>
      <c r="T63" s="14" t="str">
        <f t="shared" si="0"/>
        <v>-</v>
      </c>
    </row>
    <row r="64" spans="2:20" x14ac:dyDescent="0.25">
      <c r="B64" s="5" t="s">
        <v>13</v>
      </c>
      <c r="C64" s="14">
        <f t="shared" si="1"/>
        <v>433593</v>
      </c>
      <c r="D64" s="14" t="str">
        <f t="shared" si="0"/>
        <v>-</v>
      </c>
      <c r="E64" s="14" t="str">
        <f t="shared" si="0"/>
        <v>-</v>
      </c>
      <c r="F64" s="14" t="str">
        <f t="shared" si="0"/>
        <v>-</v>
      </c>
      <c r="G64" s="14" t="str">
        <f t="shared" si="0"/>
        <v>-</v>
      </c>
      <c r="H64" s="14" t="str">
        <f t="shared" si="0"/>
        <v>-</v>
      </c>
      <c r="I64" s="14" t="str">
        <f t="shared" si="0"/>
        <v>-</v>
      </c>
      <c r="J64" s="14" t="str">
        <f t="shared" si="0"/>
        <v>-</v>
      </c>
      <c r="K64" s="14" t="str">
        <f t="shared" si="0"/>
        <v>-</v>
      </c>
      <c r="L64" s="14" t="str">
        <f t="shared" si="0"/>
        <v>-</v>
      </c>
      <c r="M64" s="14" t="str">
        <f t="shared" si="0"/>
        <v>-</v>
      </c>
      <c r="N64" s="14" t="str">
        <f t="shared" si="0"/>
        <v>-</v>
      </c>
      <c r="O64" s="14" t="str">
        <f t="shared" si="0"/>
        <v>-</v>
      </c>
      <c r="P64" s="14" t="str">
        <f t="shared" si="0"/>
        <v>-</v>
      </c>
      <c r="Q64" s="14" t="str">
        <f t="shared" si="0"/>
        <v>-</v>
      </c>
      <c r="R64" s="14" t="str">
        <f t="shared" si="0"/>
        <v>-</v>
      </c>
      <c r="S64" s="14" t="str">
        <f t="shared" si="0"/>
        <v>-</v>
      </c>
      <c r="T64" s="14" t="str">
        <f t="shared" si="0"/>
        <v>-</v>
      </c>
    </row>
    <row r="65" spans="2:20" x14ac:dyDescent="0.25">
      <c r="B65" s="5" t="s">
        <v>14</v>
      </c>
      <c r="C65" s="14">
        <f t="shared" si="1"/>
        <v>371249</v>
      </c>
      <c r="D65" s="14" t="str">
        <f t="shared" si="0"/>
        <v>-</v>
      </c>
      <c r="E65" s="14" t="str">
        <f t="shared" si="0"/>
        <v>-</v>
      </c>
      <c r="F65" s="14" t="str">
        <f t="shared" si="0"/>
        <v>-</v>
      </c>
      <c r="G65" s="14" t="str">
        <f t="shared" si="0"/>
        <v>-</v>
      </c>
      <c r="H65" s="14" t="str">
        <f t="shared" si="0"/>
        <v>-</v>
      </c>
      <c r="I65" s="14" t="str">
        <f t="shared" si="0"/>
        <v>-</v>
      </c>
      <c r="J65" s="14" t="str">
        <f t="shared" si="0"/>
        <v>-</v>
      </c>
      <c r="K65" s="14" t="str">
        <f t="shared" si="0"/>
        <v>-</v>
      </c>
      <c r="L65" s="14" t="str">
        <f t="shared" si="0"/>
        <v>-</v>
      </c>
      <c r="M65" s="14" t="str">
        <f t="shared" si="0"/>
        <v>-</v>
      </c>
      <c r="N65" s="14" t="str">
        <f t="shared" si="0"/>
        <v>-</v>
      </c>
      <c r="O65" s="14" t="str">
        <f t="shared" si="0"/>
        <v>-</v>
      </c>
      <c r="P65" s="14" t="str">
        <f t="shared" si="0"/>
        <v>-</v>
      </c>
      <c r="Q65" s="14" t="str">
        <f t="shared" si="0"/>
        <v>-</v>
      </c>
      <c r="R65" s="14" t="str">
        <f t="shared" si="0"/>
        <v>-</v>
      </c>
      <c r="S65" s="14" t="str">
        <f t="shared" si="0"/>
        <v>-</v>
      </c>
      <c r="T65" s="14" t="str">
        <f t="shared" si="0"/>
        <v>-</v>
      </c>
    </row>
    <row r="66" spans="2:20" x14ac:dyDescent="0.25">
      <c r="B66" s="5" t="s">
        <v>15</v>
      </c>
      <c r="C66" s="14">
        <f t="shared" si="1"/>
        <v>273343</v>
      </c>
      <c r="D66" s="14" t="str">
        <f t="shared" si="0"/>
        <v>-</v>
      </c>
      <c r="E66" s="14" t="str">
        <f t="shared" si="0"/>
        <v>-</v>
      </c>
      <c r="F66" s="14" t="str">
        <f t="shared" si="0"/>
        <v>-</v>
      </c>
      <c r="G66" s="14" t="str">
        <f t="shared" si="0"/>
        <v>-</v>
      </c>
      <c r="H66" s="14" t="str">
        <f t="shared" si="0"/>
        <v>-</v>
      </c>
      <c r="I66" s="14" t="str">
        <f t="shared" si="0"/>
        <v>-</v>
      </c>
      <c r="J66" s="14" t="str">
        <f t="shared" si="0"/>
        <v>-</v>
      </c>
      <c r="K66" s="14" t="str">
        <f t="shared" si="0"/>
        <v>-</v>
      </c>
      <c r="L66" s="14" t="str">
        <f t="shared" si="0"/>
        <v>-</v>
      </c>
      <c r="M66" s="14" t="str">
        <f t="shared" si="0"/>
        <v>-</v>
      </c>
      <c r="N66" s="14" t="str">
        <f t="shared" si="0"/>
        <v>-</v>
      </c>
      <c r="O66" s="14" t="str">
        <f t="shared" si="0"/>
        <v>-</v>
      </c>
      <c r="P66" s="14" t="str">
        <f t="shared" si="0"/>
        <v>-</v>
      </c>
      <c r="Q66" s="14" t="str">
        <f t="shared" si="0"/>
        <v>-</v>
      </c>
      <c r="R66" s="14" t="str">
        <f t="shared" si="0"/>
        <v>-</v>
      </c>
      <c r="S66" s="14" t="str">
        <f t="shared" ref="D66:T71" si="2">IF(S18="-","-",S18+S41)</f>
        <v>-</v>
      </c>
      <c r="T66" s="14" t="str">
        <f t="shared" si="2"/>
        <v>-</v>
      </c>
    </row>
    <row r="67" spans="2:20" x14ac:dyDescent="0.25">
      <c r="B67" s="5" t="s">
        <v>16</v>
      </c>
      <c r="C67" s="14">
        <f t="shared" si="1"/>
        <v>211503</v>
      </c>
      <c r="D67" s="14" t="str">
        <f t="shared" si="2"/>
        <v>-</v>
      </c>
      <c r="E67" s="14" t="str">
        <f t="shared" si="2"/>
        <v>-</v>
      </c>
      <c r="F67" s="14" t="str">
        <f t="shared" si="2"/>
        <v>-</v>
      </c>
      <c r="G67" s="14" t="str">
        <f t="shared" si="2"/>
        <v>-</v>
      </c>
      <c r="H67" s="14" t="str">
        <f t="shared" si="2"/>
        <v>-</v>
      </c>
      <c r="I67" s="14" t="str">
        <f t="shared" si="2"/>
        <v>-</v>
      </c>
      <c r="J67" s="14" t="str">
        <f t="shared" si="2"/>
        <v>-</v>
      </c>
      <c r="K67" s="14" t="str">
        <f t="shared" si="2"/>
        <v>-</v>
      </c>
      <c r="L67" s="14" t="str">
        <f t="shared" si="2"/>
        <v>-</v>
      </c>
      <c r="M67" s="14" t="str">
        <f t="shared" si="2"/>
        <v>-</v>
      </c>
      <c r="N67" s="14" t="str">
        <f t="shared" si="2"/>
        <v>-</v>
      </c>
      <c r="O67" s="14" t="str">
        <f t="shared" si="2"/>
        <v>-</v>
      </c>
      <c r="P67" s="14" t="str">
        <f t="shared" si="2"/>
        <v>-</v>
      </c>
      <c r="Q67" s="14" t="str">
        <f t="shared" si="2"/>
        <v>-</v>
      </c>
      <c r="R67" s="14" t="str">
        <f t="shared" si="2"/>
        <v>-</v>
      </c>
      <c r="S67" s="14" t="str">
        <f t="shared" si="2"/>
        <v>-</v>
      </c>
      <c r="T67" s="14" t="str">
        <f t="shared" si="2"/>
        <v>-</v>
      </c>
    </row>
    <row r="68" spans="2:20" x14ac:dyDescent="0.25">
      <c r="B68" s="5" t="s">
        <v>17</v>
      </c>
      <c r="C68" s="14">
        <f t="shared" si="1"/>
        <v>133393</v>
      </c>
      <c r="D68" s="14" t="str">
        <f t="shared" si="2"/>
        <v>-</v>
      </c>
      <c r="E68" s="14" t="str">
        <f t="shared" si="2"/>
        <v>-</v>
      </c>
      <c r="F68" s="14" t="str">
        <f t="shared" si="2"/>
        <v>-</v>
      </c>
      <c r="G68" s="14" t="str">
        <f t="shared" si="2"/>
        <v>-</v>
      </c>
      <c r="H68" s="14" t="str">
        <f t="shared" si="2"/>
        <v>-</v>
      </c>
      <c r="I68" s="14" t="str">
        <f t="shared" si="2"/>
        <v>-</v>
      </c>
      <c r="J68" s="14" t="str">
        <f t="shared" si="2"/>
        <v>-</v>
      </c>
      <c r="K68" s="14" t="str">
        <f t="shared" si="2"/>
        <v>-</v>
      </c>
      <c r="L68" s="14" t="str">
        <f t="shared" si="2"/>
        <v>-</v>
      </c>
      <c r="M68" s="14" t="str">
        <f t="shared" si="2"/>
        <v>-</v>
      </c>
      <c r="N68" s="14" t="str">
        <f t="shared" si="2"/>
        <v>-</v>
      </c>
      <c r="O68" s="14" t="str">
        <f t="shared" si="2"/>
        <v>-</v>
      </c>
      <c r="P68" s="14" t="str">
        <f t="shared" si="2"/>
        <v>-</v>
      </c>
      <c r="Q68" s="14" t="str">
        <f t="shared" si="2"/>
        <v>-</v>
      </c>
      <c r="R68" s="14" t="str">
        <f t="shared" si="2"/>
        <v>-</v>
      </c>
      <c r="S68" s="14" t="str">
        <f t="shared" si="2"/>
        <v>-</v>
      </c>
      <c r="T68" s="14" t="str">
        <f t="shared" si="2"/>
        <v>-</v>
      </c>
    </row>
    <row r="69" spans="2:20" x14ac:dyDescent="0.25">
      <c r="B69" s="5" t="s">
        <v>18</v>
      </c>
      <c r="C69" s="14">
        <f t="shared" si="1"/>
        <v>58145</v>
      </c>
      <c r="D69" s="14" t="str">
        <f t="shared" si="2"/>
        <v>-</v>
      </c>
      <c r="E69" s="14" t="str">
        <f t="shared" si="2"/>
        <v>-</v>
      </c>
      <c r="F69" s="14" t="str">
        <f t="shared" si="2"/>
        <v>-</v>
      </c>
      <c r="G69" s="14" t="str">
        <f t="shared" si="2"/>
        <v>-</v>
      </c>
      <c r="H69" s="14" t="str">
        <f t="shared" si="2"/>
        <v>-</v>
      </c>
      <c r="I69" s="14" t="str">
        <f t="shared" si="2"/>
        <v>-</v>
      </c>
      <c r="J69" s="14" t="str">
        <f t="shared" si="2"/>
        <v>-</v>
      </c>
      <c r="K69" s="14" t="str">
        <f t="shared" si="2"/>
        <v>-</v>
      </c>
      <c r="L69" s="14" t="str">
        <f t="shared" si="2"/>
        <v>-</v>
      </c>
      <c r="M69" s="14" t="str">
        <f t="shared" si="2"/>
        <v>-</v>
      </c>
      <c r="N69" s="14" t="str">
        <f t="shared" si="2"/>
        <v>-</v>
      </c>
      <c r="O69" s="14" t="str">
        <f t="shared" si="2"/>
        <v>-</v>
      </c>
      <c r="P69" s="14" t="str">
        <f t="shared" si="2"/>
        <v>-</v>
      </c>
      <c r="Q69" s="14" t="str">
        <f t="shared" si="2"/>
        <v>-</v>
      </c>
      <c r="R69" s="14" t="str">
        <f t="shared" si="2"/>
        <v>-</v>
      </c>
      <c r="S69" s="14" t="str">
        <f t="shared" si="2"/>
        <v>-</v>
      </c>
      <c r="T69" s="14" t="str">
        <f t="shared" si="2"/>
        <v>-</v>
      </c>
    </row>
    <row r="70" spans="2:20" x14ac:dyDescent="0.25">
      <c r="B70" s="5" t="s">
        <v>19</v>
      </c>
      <c r="C70" s="14">
        <f t="shared" si="1"/>
        <v>12264</v>
      </c>
      <c r="D70" s="14" t="str">
        <f t="shared" si="2"/>
        <v>-</v>
      </c>
      <c r="E70" s="14" t="str">
        <f t="shared" si="2"/>
        <v>-</v>
      </c>
      <c r="F70" s="14" t="str">
        <f t="shared" si="2"/>
        <v>-</v>
      </c>
      <c r="G70" s="14" t="str">
        <f t="shared" si="2"/>
        <v>-</v>
      </c>
      <c r="H70" s="14" t="str">
        <f t="shared" si="2"/>
        <v>-</v>
      </c>
      <c r="I70" s="14" t="str">
        <f t="shared" si="2"/>
        <v>-</v>
      </c>
      <c r="J70" s="14" t="str">
        <f t="shared" si="2"/>
        <v>-</v>
      </c>
      <c r="K70" s="14" t="str">
        <f t="shared" si="2"/>
        <v>-</v>
      </c>
      <c r="L70" s="14" t="str">
        <f t="shared" si="2"/>
        <v>-</v>
      </c>
      <c r="M70" s="14" t="str">
        <f t="shared" si="2"/>
        <v>-</v>
      </c>
      <c r="N70" s="14" t="str">
        <f t="shared" si="2"/>
        <v>-</v>
      </c>
      <c r="O70" s="14" t="str">
        <f t="shared" si="2"/>
        <v>-</v>
      </c>
      <c r="P70" s="14" t="str">
        <f t="shared" si="2"/>
        <v>-</v>
      </c>
      <c r="Q70" s="14" t="str">
        <f t="shared" si="2"/>
        <v>-</v>
      </c>
      <c r="R70" s="14" t="str">
        <f t="shared" si="2"/>
        <v>-</v>
      </c>
      <c r="S70" s="14" t="str">
        <f t="shared" si="2"/>
        <v>-</v>
      </c>
      <c r="T70" s="14" t="str">
        <f t="shared" si="2"/>
        <v>-</v>
      </c>
    </row>
    <row r="71" spans="2:20" ht="14.4" thickBot="1" x14ac:dyDescent="0.3">
      <c r="B71" s="6" t="s">
        <v>20</v>
      </c>
      <c r="C71" s="14">
        <f t="shared" si="1"/>
        <v>1562</v>
      </c>
      <c r="D71" s="14" t="str">
        <f t="shared" si="2"/>
        <v>-</v>
      </c>
      <c r="E71" s="14" t="str">
        <f t="shared" si="2"/>
        <v>-</v>
      </c>
      <c r="F71" s="14" t="str">
        <f t="shared" si="2"/>
        <v>-</v>
      </c>
      <c r="G71" s="14" t="str">
        <f t="shared" si="2"/>
        <v>-</v>
      </c>
      <c r="H71" s="14" t="str">
        <f t="shared" si="2"/>
        <v>-</v>
      </c>
      <c r="I71" s="14" t="str">
        <f t="shared" si="2"/>
        <v>-</v>
      </c>
      <c r="J71" s="14" t="str">
        <f t="shared" si="2"/>
        <v>-</v>
      </c>
      <c r="K71" s="14" t="str">
        <f t="shared" si="2"/>
        <v>-</v>
      </c>
      <c r="L71" s="14" t="str">
        <f t="shared" si="2"/>
        <v>-</v>
      </c>
      <c r="M71" s="14" t="str">
        <f t="shared" si="2"/>
        <v>-</v>
      </c>
      <c r="N71" s="14" t="str">
        <f t="shared" si="2"/>
        <v>-</v>
      </c>
      <c r="O71" s="14" t="str">
        <f t="shared" si="2"/>
        <v>-</v>
      </c>
      <c r="P71" s="14" t="str">
        <f t="shared" si="2"/>
        <v>-</v>
      </c>
      <c r="Q71" s="14" t="str">
        <f t="shared" si="2"/>
        <v>-</v>
      </c>
      <c r="R71" s="14" t="str">
        <f t="shared" si="2"/>
        <v>-</v>
      </c>
      <c r="S71" s="14" t="str">
        <f t="shared" si="2"/>
        <v>-</v>
      </c>
      <c r="T71" s="14" t="str">
        <f t="shared" si="2"/>
        <v>-</v>
      </c>
    </row>
    <row r="73" spans="2:20" x14ac:dyDescent="0.25">
      <c r="B73" t="s">
        <v>46</v>
      </c>
      <c r="C73" s="14">
        <f>IF('Mode d''emploi'!$F$6&gt;=C2,SUM(C51:C71),"-")</f>
        <v>8327126</v>
      </c>
      <c r="D73" s="14" t="str">
        <f>IF('Mode d''emploi'!$F$6&gt;=D2,SUM(D51:D71),"-")</f>
        <v>-</v>
      </c>
      <c r="E73" s="14" t="str">
        <f>IF('Mode d''emploi'!$F$6&gt;=E2,SUM(E51:E71),"-")</f>
        <v>-</v>
      </c>
      <c r="F73" s="14" t="str">
        <f>IF('Mode d''emploi'!$F$6&gt;=F2,SUM(F51:F71),"-")</f>
        <v>-</v>
      </c>
      <c r="G73" s="14" t="str">
        <f>IF('Mode d''emploi'!$F$6&gt;=G2,SUM(G51:G71),"-")</f>
        <v>-</v>
      </c>
      <c r="H73" s="14" t="str">
        <f>IF('Mode d''emploi'!$F$6&gt;=H2,SUM(H51:H71),"-")</f>
        <v>-</v>
      </c>
      <c r="I73" s="14" t="str">
        <f>IF('Mode d''emploi'!$F$6&gt;=I2,SUM(I51:I71),"-")</f>
        <v>-</v>
      </c>
      <c r="J73" s="14" t="str">
        <f>IF('Mode d''emploi'!$F$6&gt;=J2,SUM(J51:J71),"-")</f>
        <v>-</v>
      </c>
      <c r="K73" s="14" t="str">
        <f>IF('Mode d''emploi'!$F$6&gt;=K2,SUM(K51:K71),"-")</f>
        <v>-</v>
      </c>
      <c r="L73" s="14" t="str">
        <f>IF('Mode d''emploi'!$F$6&gt;=L2,SUM(L51:L71),"-")</f>
        <v>-</v>
      </c>
      <c r="M73" s="14" t="str">
        <f>IF('Mode d''emploi'!$F$6&gt;=M2,SUM(M51:M71),"-")</f>
        <v>-</v>
      </c>
      <c r="N73" s="14" t="str">
        <f>IF('Mode d''emploi'!$F$6&gt;=N2,SUM(N51:N71),"-")</f>
        <v>-</v>
      </c>
      <c r="O73" s="14" t="str">
        <f>IF('Mode d''emploi'!$F$6&gt;=O2,SUM(O51:O71),"-")</f>
        <v>-</v>
      </c>
      <c r="P73" s="14" t="str">
        <f>IF('Mode d''emploi'!$F$6&gt;=P2,SUM(P51:P71),"-")</f>
        <v>-</v>
      </c>
      <c r="Q73" s="14" t="str">
        <f>IF('Mode d''emploi'!$F$6&gt;=Q2,SUM(Q51:Q71),"-")</f>
        <v>-</v>
      </c>
      <c r="R73" s="14" t="str">
        <f>IF('Mode d''emploi'!$F$6&gt;=R2,SUM(R51:R71),"-")</f>
        <v>-</v>
      </c>
      <c r="S73" s="14" t="str">
        <f>IF('Mode d''emploi'!$F$6&gt;=S2,SUM(S51:S71),"-")</f>
        <v>-</v>
      </c>
      <c r="T73" s="14" t="str">
        <f>IF('Mode d''emploi'!$F$6&gt;=T2,SUM(T51:T71),"-")</f>
        <v>-</v>
      </c>
    </row>
    <row r="75" spans="2:20" x14ac:dyDescent="0.25">
      <c r="B75" s="67" t="s">
        <v>66</v>
      </c>
      <c r="C75" s="14">
        <f>IF('Mode d''emploi'!$F$6&gt;=C$2,SUM(C51:C53),"-")</f>
        <v>1236792</v>
      </c>
      <c r="D75" s="14" t="str">
        <f>IF('Mode d''emploi'!$F$6&gt;=D$2,SUM(D51:D53),"-")</f>
        <v>-</v>
      </c>
      <c r="E75" s="14" t="str">
        <f>IF('Mode d''emploi'!$F$6&gt;=E$2,SUM(E51:E53),"-")</f>
        <v>-</v>
      </c>
      <c r="F75" s="14" t="str">
        <f>IF('Mode d''emploi'!$F$6&gt;=F$2,SUM(F51:F53),"-")</f>
        <v>-</v>
      </c>
      <c r="G75" s="14" t="str">
        <f>IF('Mode d''emploi'!$F$6&gt;=G$2,SUM(G51:G53),"-")</f>
        <v>-</v>
      </c>
      <c r="H75" s="14" t="str">
        <f>IF('Mode d''emploi'!$F$6&gt;=H$2,SUM(H51:H53),"-")</f>
        <v>-</v>
      </c>
      <c r="I75" s="14" t="str">
        <f>IF('Mode d''emploi'!$F$6&gt;=I$2,SUM(I51:I53),"-")</f>
        <v>-</v>
      </c>
      <c r="J75" s="14" t="str">
        <f>IF('Mode d''emploi'!$F$6&gt;=J$2,SUM(J51:J53),"-")</f>
        <v>-</v>
      </c>
      <c r="K75" s="14" t="str">
        <f>IF('Mode d''emploi'!$F$6&gt;=K$2,SUM(K51:K53),"-")</f>
        <v>-</v>
      </c>
      <c r="L75" s="14" t="str">
        <f>IF('Mode d''emploi'!$F$6&gt;=L$2,SUM(L51:L53),"-")</f>
        <v>-</v>
      </c>
      <c r="M75" s="14" t="str">
        <f>IF('Mode d''emploi'!$F$6&gt;=M$2,SUM(M51:M53),"-")</f>
        <v>-</v>
      </c>
      <c r="N75" s="14" t="str">
        <f>IF('Mode d''emploi'!$F$6&gt;=N$2,SUM(N51:N53),"-")</f>
        <v>-</v>
      </c>
      <c r="O75" s="14" t="str">
        <f>IF('Mode d''emploi'!$F$6&gt;=O$2,SUM(O51:O53),"-")</f>
        <v>-</v>
      </c>
      <c r="P75" s="14" t="str">
        <f>IF('Mode d''emploi'!$F$6&gt;=P$2,SUM(P51:P53),"-")</f>
        <v>-</v>
      </c>
      <c r="Q75" s="14" t="str">
        <f>IF('Mode d''emploi'!$F$6&gt;=Q$2,SUM(Q51:Q53),"-")</f>
        <v>-</v>
      </c>
      <c r="R75" s="14" t="str">
        <f>IF('Mode d''emploi'!$F$6&gt;=R$2,SUM(R51:R53),"-")</f>
        <v>-</v>
      </c>
      <c r="S75" s="14" t="str">
        <f>IF('Mode d''emploi'!$F$6&gt;=S$2,SUM(S51:S53),"-")</f>
        <v>-</v>
      </c>
      <c r="T75" s="14" t="str">
        <f>IF('Mode d''emploi'!$F$6&gt;=T$2,SUM(T51:T53),"-")</f>
        <v>-</v>
      </c>
    </row>
    <row r="76" spans="2:20" x14ac:dyDescent="0.25">
      <c r="B76" t="s">
        <v>67</v>
      </c>
      <c r="C76" s="14">
        <f>IF('Mode d''emploi'!$F$6&gt;=C$2,SUM(C64:C71),"-")</f>
        <v>1495052</v>
      </c>
      <c r="D76" s="14" t="str">
        <f>IF('Mode d''emploi'!$F$6&gt;=D$2,SUM(D64:D71),"-")</f>
        <v>-</v>
      </c>
      <c r="E76" s="14" t="str">
        <f>IF('Mode d''emploi'!$F$6&gt;=E$2,SUM(E64:E71),"-")</f>
        <v>-</v>
      </c>
      <c r="F76" s="14" t="str">
        <f>IF('Mode d''emploi'!$F$6&gt;=F$2,SUM(F64:F71),"-")</f>
        <v>-</v>
      </c>
      <c r="G76" s="14" t="str">
        <f>IF('Mode d''emploi'!$F$6&gt;=G$2,SUM(G64:G71),"-")</f>
        <v>-</v>
      </c>
      <c r="H76" s="14" t="str">
        <f>IF('Mode d''emploi'!$F$6&gt;=H$2,SUM(H64:H71),"-")</f>
        <v>-</v>
      </c>
      <c r="I76" s="14" t="str">
        <f>IF('Mode d''emploi'!$F$6&gt;=I$2,SUM(I64:I71),"-")</f>
        <v>-</v>
      </c>
      <c r="J76" s="14" t="str">
        <f>IF('Mode d''emploi'!$F$6&gt;=J$2,SUM(J64:J71),"-")</f>
        <v>-</v>
      </c>
      <c r="K76" s="14" t="str">
        <f>IF('Mode d''emploi'!$F$6&gt;=K$2,SUM(K64:K71),"-")</f>
        <v>-</v>
      </c>
      <c r="L76" s="14" t="str">
        <f>IF('Mode d''emploi'!$F$6&gt;=L$2,SUM(L64:L71),"-")</f>
        <v>-</v>
      </c>
      <c r="M76" s="14" t="str">
        <f>IF('Mode d''emploi'!$F$6&gt;=M$2,SUM(M64:M71),"-")</f>
        <v>-</v>
      </c>
      <c r="N76" s="14" t="str">
        <f>IF('Mode d''emploi'!$F$6&gt;=N$2,SUM(N64:N71),"-")</f>
        <v>-</v>
      </c>
      <c r="O76" s="14" t="str">
        <f>IF('Mode d''emploi'!$F$6&gt;=O$2,SUM(O64:O71),"-")</f>
        <v>-</v>
      </c>
      <c r="P76" s="14" t="str">
        <f>IF('Mode d''emploi'!$F$6&gt;=P$2,SUM(P64:P71),"-")</f>
        <v>-</v>
      </c>
      <c r="Q76" s="14" t="str">
        <f>IF('Mode d''emploi'!$F$6&gt;=Q$2,SUM(Q64:Q71),"-")</f>
        <v>-</v>
      </c>
      <c r="R76" s="14" t="str">
        <f>IF('Mode d''emploi'!$F$6&gt;=R$2,SUM(R64:R71),"-")</f>
        <v>-</v>
      </c>
      <c r="S76" s="14" t="str">
        <f>IF('Mode d''emploi'!$F$6&gt;=S$2,SUM(S64:S71),"-")</f>
        <v>-</v>
      </c>
      <c r="T76" s="14" t="str">
        <f>IF('Mode d''emploi'!$F$6&gt;=T$2,SUM(T64:T71),"-")</f>
        <v>-</v>
      </c>
    </row>
    <row r="77" spans="2:20" x14ac:dyDescent="0.25">
      <c r="B77" t="s">
        <v>68</v>
      </c>
      <c r="C77" s="14">
        <f>IF('Mode d''emploi'!$F$6&gt;=C$2,SUM(C67:C71),"-")</f>
        <v>416867</v>
      </c>
      <c r="D77" s="14" t="str">
        <f>IF('Mode d''emploi'!$F$6&gt;=D$2,SUM(D67:D71),"-")</f>
        <v>-</v>
      </c>
      <c r="E77" s="14" t="str">
        <f>IF('Mode d''emploi'!$F$6&gt;=E$2,SUM(E67:E71),"-")</f>
        <v>-</v>
      </c>
      <c r="F77" s="14" t="str">
        <f>IF('Mode d''emploi'!$F$6&gt;=F$2,SUM(F67:F71),"-")</f>
        <v>-</v>
      </c>
      <c r="G77" s="14" t="str">
        <f>IF('Mode d''emploi'!$F$6&gt;=G$2,SUM(G67:G71),"-")</f>
        <v>-</v>
      </c>
      <c r="H77" s="14" t="str">
        <f>IF('Mode d''emploi'!$F$6&gt;=H$2,SUM(H67:H71),"-")</f>
        <v>-</v>
      </c>
      <c r="I77" s="14" t="str">
        <f>IF('Mode d''emploi'!$F$6&gt;=I$2,SUM(I67:I71),"-")</f>
        <v>-</v>
      </c>
      <c r="J77" s="14" t="str">
        <f>IF('Mode d''emploi'!$F$6&gt;=J$2,SUM(J67:J71),"-")</f>
        <v>-</v>
      </c>
      <c r="K77" s="14" t="str">
        <f>IF('Mode d''emploi'!$F$6&gt;=K$2,SUM(K67:K71),"-")</f>
        <v>-</v>
      </c>
      <c r="L77" s="14" t="str">
        <f>IF('Mode d''emploi'!$F$6&gt;=L$2,SUM(L67:L71),"-")</f>
        <v>-</v>
      </c>
      <c r="M77" s="14" t="str">
        <f>IF('Mode d''emploi'!$F$6&gt;=M$2,SUM(M67:M71),"-")</f>
        <v>-</v>
      </c>
      <c r="N77" s="14" t="str">
        <f>IF('Mode d''emploi'!$F$6&gt;=N$2,SUM(N67:N71),"-")</f>
        <v>-</v>
      </c>
      <c r="O77" s="14" t="str">
        <f>IF('Mode d''emploi'!$F$6&gt;=O$2,SUM(O67:O71),"-")</f>
        <v>-</v>
      </c>
      <c r="P77" s="14" t="str">
        <f>IF('Mode d''emploi'!$F$6&gt;=P$2,SUM(P67:P71),"-")</f>
        <v>-</v>
      </c>
      <c r="Q77" s="14" t="str">
        <f>IF('Mode d''emploi'!$F$6&gt;=Q$2,SUM(Q67:Q71),"-")</f>
        <v>-</v>
      </c>
      <c r="R77" s="14" t="str">
        <f>IF('Mode d''emploi'!$F$6&gt;=R$2,SUM(R67:R71),"-")</f>
        <v>-</v>
      </c>
      <c r="S77" s="14" t="str">
        <f>IF('Mode d''emploi'!$F$6&gt;=S$2,SUM(S67:S71),"-")</f>
        <v>-</v>
      </c>
      <c r="T77" s="14" t="str">
        <f>IF('Mode d''emploi'!$F$6&gt;=T$2,SUM(T67:T71),"-")</f>
        <v>-</v>
      </c>
    </row>
    <row r="78" spans="2:20" x14ac:dyDescent="0.25">
      <c r="B78" t="s">
        <v>71</v>
      </c>
      <c r="C78" s="14">
        <f>IF('Mode d''emploi'!$F$6&gt;=C$2,SUM(C51:C54),"-")</f>
        <v>1675503</v>
      </c>
      <c r="D78" s="14" t="str">
        <f>IF('Mode d''emploi'!$F$6&gt;=D$2,SUM(D51:D54),"-")</f>
        <v>-</v>
      </c>
      <c r="E78" s="14" t="str">
        <f>IF('Mode d''emploi'!$F$6&gt;=E$2,SUM(E51:E54),"-")</f>
        <v>-</v>
      </c>
      <c r="F78" s="14" t="str">
        <f>IF('Mode d''emploi'!$F$6&gt;=F$2,SUM(F51:F54),"-")</f>
        <v>-</v>
      </c>
      <c r="G78" s="14" t="str">
        <f>IF('Mode d''emploi'!$F$6&gt;=G$2,SUM(G51:G54),"-")</f>
        <v>-</v>
      </c>
      <c r="H78" s="14" t="str">
        <f>IF('Mode d''emploi'!$F$6&gt;=H$2,SUM(H51:H54),"-")</f>
        <v>-</v>
      </c>
      <c r="I78" s="14" t="str">
        <f>IF('Mode d''emploi'!$F$6&gt;=I$2,SUM(I51:I54),"-")</f>
        <v>-</v>
      </c>
      <c r="J78" s="14" t="str">
        <f>IF('Mode d''emploi'!$F$6&gt;=J$2,SUM(J51:J54),"-")</f>
        <v>-</v>
      </c>
      <c r="K78" s="14" t="str">
        <f>IF('Mode d''emploi'!$F$6&gt;=K$2,SUM(K51:K54),"-")</f>
        <v>-</v>
      </c>
      <c r="L78" s="14" t="str">
        <f>IF('Mode d''emploi'!$F$6&gt;=L$2,SUM(L51:L54),"-")</f>
        <v>-</v>
      </c>
      <c r="M78" s="14" t="str">
        <f>IF('Mode d''emploi'!$F$6&gt;=M$2,SUM(M51:M54),"-")</f>
        <v>-</v>
      </c>
      <c r="N78" s="14" t="str">
        <f>IF('Mode d''emploi'!$F$6&gt;=N$2,SUM(N51:N54),"-")</f>
        <v>-</v>
      </c>
      <c r="O78" s="14" t="str">
        <f>IF('Mode d''emploi'!$F$6&gt;=O$2,SUM(O51:O54),"-")</f>
        <v>-</v>
      </c>
      <c r="P78" s="14" t="str">
        <f>IF('Mode d''emploi'!$F$6&gt;=P$2,SUM(P51:P54),"-")</f>
        <v>-</v>
      </c>
      <c r="Q78" s="14" t="str">
        <f>IF('Mode d''emploi'!$F$6&gt;=Q$2,SUM(Q51:Q54),"-")</f>
        <v>-</v>
      </c>
      <c r="R78" s="14" t="str">
        <f>IF('Mode d''emploi'!$F$6&gt;=R$2,SUM(R51:R54),"-")</f>
        <v>-</v>
      </c>
      <c r="S78" s="14" t="str">
        <f>IF('Mode d''emploi'!$F$6&gt;=S$2,SUM(S51:S54),"-")</f>
        <v>-</v>
      </c>
      <c r="T78" s="14" t="str">
        <f>IF('Mode d''emploi'!$F$6&gt;=T$2,SUM(T51:T54),"-")</f>
        <v>-</v>
      </c>
    </row>
    <row r="79" spans="2:20" x14ac:dyDescent="0.25">
      <c r="B79" t="s">
        <v>72</v>
      </c>
      <c r="C79" s="14">
        <f>IF('Mode d''emploi'!$F$6&gt;=C$2,SUM(C55:C63),"-")</f>
        <v>5156571</v>
      </c>
      <c r="D79" s="14" t="str">
        <f>IF('Mode d''emploi'!$F$6&gt;=D$2,SUM(D55:D63),"-")</f>
        <v>-</v>
      </c>
      <c r="E79" s="14" t="str">
        <f>IF('Mode d''emploi'!$F$6&gt;=E$2,SUM(E55:E63),"-")</f>
        <v>-</v>
      </c>
      <c r="F79" s="14" t="str">
        <f>IF('Mode d''emploi'!$F$6&gt;=F$2,SUM(F55:F63),"-")</f>
        <v>-</v>
      </c>
      <c r="G79" s="14" t="str">
        <f>IF('Mode d''emploi'!$F$6&gt;=G$2,SUM(G55:G63),"-")</f>
        <v>-</v>
      </c>
      <c r="H79" s="14" t="str">
        <f>IF('Mode d''emploi'!$F$6&gt;=H$2,SUM(H55:H63),"-")</f>
        <v>-</v>
      </c>
      <c r="I79" s="14" t="str">
        <f>IF('Mode d''emploi'!$F$6&gt;=I$2,SUM(I55:I63),"-")</f>
        <v>-</v>
      </c>
      <c r="J79" s="14" t="str">
        <f>IF('Mode d''emploi'!$F$6&gt;=J$2,SUM(J55:J63),"-")</f>
        <v>-</v>
      </c>
      <c r="K79" s="14" t="str">
        <f>IF('Mode d''emploi'!$F$6&gt;=K$2,SUM(K55:K63),"-")</f>
        <v>-</v>
      </c>
      <c r="L79" s="14" t="str">
        <f>IF('Mode d''emploi'!$F$6&gt;=L$2,SUM(L55:L63),"-")</f>
        <v>-</v>
      </c>
      <c r="M79" s="14" t="str">
        <f>IF('Mode d''emploi'!$F$6&gt;=M$2,SUM(M55:M63),"-")</f>
        <v>-</v>
      </c>
      <c r="N79" s="14" t="str">
        <f>IF('Mode d''emploi'!$F$6&gt;=N$2,SUM(N55:N63),"-")</f>
        <v>-</v>
      </c>
      <c r="O79" s="14" t="str">
        <f>IF('Mode d''emploi'!$F$6&gt;=O$2,SUM(O55:O63),"-")</f>
        <v>-</v>
      </c>
      <c r="P79" s="14" t="str">
        <f>IF('Mode d''emploi'!$F$6&gt;=P$2,SUM(P55:P63),"-")</f>
        <v>-</v>
      </c>
      <c r="Q79" s="14" t="str">
        <f>IF('Mode d''emploi'!$F$6&gt;=Q$2,SUM(Q55:Q63),"-")</f>
        <v>-</v>
      </c>
      <c r="R79" s="14" t="str">
        <f>IF('Mode d''emploi'!$F$6&gt;=R$2,SUM(R55:R63),"-")</f>
        <v>-</v>
      </c>
      <c r="S79" s="14" t="str">
        <f>IF('Mode d''emploi'!$F$6&gt;=S$2,SUM(S55:S63),"-")</f>
        <v>-</v>
      </c>
      <c r="T79" s="14" t="str">
        <f>IF('Mode d''emploi'!$F$6&gt;=T$2,SUM(T55:T63),"-")</f>
        <v>-</v>
      </c>
    </row>
    <row r="80" spans="2:20" ht="14.4" thickBot="1" x14ac:dyDescent="0.3"/>
    <row r="81" spans="2:20" ht="14.4" thickBot="1" x14ac:dyDescent="0.3">
      <c r="C81" s="68">
        <v>2015</v>
      </c>
      <c r="D81" s="2">
        <v>2020</v>
      </c>
      <c r="E81" s="2">
        <v>2025</v>
      </c>
      <c r="F81" s="2">
        <v>2030</v>
      </c>
      <c r="G81" s="2">
        <v>2035</v>
      </c>
      <c r="H81" s="2">
        <v>2040</v>
      </c>
      <c r="I81" s="2">
        <v>2045</v>
      </c>
      <c r="J81" s="2">
        <v>2050</v>
      </c>
      <c r="K81" s="2">
        <v>2055</v>
      </c>
      <c r="L81" s="2">
        <v>2060</v>
      </c>
      <c r="M81" s="2">
        <v>2065</v>
      </c>
      <c r="N81" s="2">
        <v>2070</v>
      </c>
      <c r="O81" s="2">
        <v>2075</v>
      </c>
      <c r="P81" s="2">
        <v>2080</v>
      </c>
      <c r="Q81" s="2">
        <v>2085</v>
      </c>
      <c r="R81" s="2">
        <v>2090</v>
      </c>
      <c r="S81" s="2">
        <v>2095</v>
      </c>
      <c r="T81" s="3">
        <v>2100</v>
      </c>
    </row>
    <row r="82" spans="2:20" x14ac:dyDescent="0.25">
      <c r="B82" s="67" t="s">
        <v>73</v>
      </c>
      <c r="C82" s="69">
        <f>IF('Mode d''emploi'!$F$6&gt;=C$2,100*C75/C73,"-")</f>
        <v>14.852567380390305</v>
      </c>
      <c r="D82" s="69" t="str">
        <f>IF('Mode d''emploi'!$F$6&gt;=D$2,100*D75/D73,"-")</f>
        <v>-</v>
      </c>
      <c r="E82" s="69" t="str">
        <f>IF('Mode d''emploi'!$F$6&gt;=E$2,100*E75/E73,"-")</f>
        <v>-</v>
      </c>
      <c r="F82" s="69" t="str">
        <f>IF('Mode d''emploi'!$F$6&gt;=F$2,100*F75/F73,"-")</f>
        <v>-</v>
      </c>
      <c r="G82" s="69" t="str">
        <f>IF('Mode d''emploi'!$F$6&gt;=G$2,100*G75/G73,"-")</f>
        <v>-</v>
      </c>
      <c r="H82" s="69" t="str">
        <f>IF('Mode d''emploi'!$F$6&gt;=H$2,100*H75/H73,"-")</f>
        <v>-</v>
      </c>
      <c r="I82" s="69" t="str">
        <f>IF('Mode d''emploi'!$F$6&gt;=I$2,100*I75/I73,"-")</f>
        <v>-</v>
      </c>
      <c r="J82" s="69" t="str">
        <f>IF('Mode d''emploi'!$F$6&gt;=J$2,100*J75/J73,"-")</f>
        <v>-</v>
      </c>
      <c r="K82" s="69" t="str">
        <f>IF('Mode d''emploi'!$F$6&gt;=K$2,100*K75/K73,"-")</f>
        <v>-</v>
      </c>
      <c r="L82" s="69" t="str">
        <f>IF('Mode d''emploi'!$F$6&gt;=L$2,100*L75/L73,"-")</f>
        <v>-</v>
      </c>
      <c r="M82" s="69" t="str">
        <f>IF('Mode d''emploi'!$F$6&gt;=M$2,100*M75/M73,"-")</f>
        <v>-</v>
      </c>
      <c r="N82" s="69" t="str">
        <f>IF('Mode d''emploi'!$F$6&gt;=N$2,100*N75/N73,"-")</f>
        <v>-</v>
      </c>
      <c r="O82" s="69" t="str">
        <f>IF('Mode d''emploi'!$F$6&gt;=O$2,100*O75/O73,"-")</f>
        <v>-</v>
      </c>
      <c r="P82" s="69" t="str">
        <f>IF('Mode d''emploi'!$F$6&gt;=P$2,100*P75/P73,"-")</f>
        <v>-</v>
      </c>
      <c r="Q82" s="69" t="str">
        <f>IF('Mode d''emploi'!$F$6&gt;=Q$2,100*Q75/Q73,"-")</f>
        <v>-</v>
      </c>
      <c r="R82" s="69" t="str">
        <f>IF('Mode d''emploi'!$F$6&gt;=R$2,100*R75/R73,"-")</f>
        <v>-</v>
      </c>
      <c r="S82" s="69" t="str">
        <f>IF('Mode d''emploi'!$F$6&gt;=S$2,100*S75/S73,"-")</f>
        <v>-</v>
      </c>
      <c r="T82" s="69" t="str">
        <f>IF('Mode d''emploi'!$F$6&gt;=T$2,100*T75/T73,"-")</f>
        <v>-</v>
      </c>
    </row>
    <row r="83" spans="2:20" x14ac:dyDescent="0.25">
      <c r="B83" t="s">
        <v>74</v>
      </c>
      <c r="C83" s="69">
        <f>IF('Mode d''emploi'!$F$6&gt;=C$2,100*C76/C73,"-")</f>
        <v>17.953997573712709</v>
      </c>
      <c r="D83" s="69" t="str">
        <f>IF('Mode d''emploi'!$F$6&gt;=D$2,100*D76/D73,"-")</f>
        <v>-</v>
      </c>
      <c r="E83" s="69" t="str">
        <f>IF('Mode d''emploi'!$F$6&gt;=E$2,100*E76/E73,"-")</f>
        <v>-</v>
      </c>
      <c r="F83" s="69" t="str">
        <f>IF('Mode d''emploi'!$F$6&gt;=F$2,100*F76/F73,"-")</f>
        <v>-</v>
      </c>
      <c r="G83" s="69" t="str">
        <f>IF('Mode d''emploi'!$F$6&gt;=G$2,100*G76/G73,"-")</f>
        <v>-</v>
      </c>
      <c r="H83" s="69" t="str">
        <f>IF('Mode d''emploi'!$F$6&gt;=H$2,100*H76/H73,"-")</f>
        <v>-</v>
      </c>
      <c r="I83" s="69" t="str">
        <f>IF('Mode d''emploi'!$F$6&gt;=I$2,100*I76/I73,"-")</f>
        <v>-</v>
      </c>
      <c r="J83" s="69" t="str">
        <f>IF('Mode d''emploi'!$F$6&gt;=J$2,100*J76/J73,"-")</f>
        <v>-</v>
      </c>
      <c r="K83" s="69" t="str">
        <f>IF('Mode d''emploi'!$F$6&gt;=K$2,100*K76/K73,"-")</f>
        <v>-</v>
      </c>
      <c r="L83" s="69" t="str">
        <f>IF('Mode d''emploi'!$F$6&gt;=L$2,100*L76/L73,"-")</f>
        <v>-</v>
      </c>
      <c r="M83" s="69" t="str">
        <f>IF('Mode d''emploi'!$F$6&gt;=M$2,100*M76/M73,"-")</f>
        <v>-</v>
      </c>
      <c r="N83" s="69" t="str">
        <f>IF('Mode d''emploi'!$F$6&gt;=N$2,100*N76/N73,"-")</f>
        <v>-</v>
      </c>
      <c r="O83" s="69" t="str">
        <f>IF('Mode d''emploi'!$F$6&gt;=O$2,100*O76/O73,"-")</f>
        <v>-</v>
      </c>
      <c r="P83" s="69" t="str">
        <f>IF('Mode d''emploi'!$F$6&gt;=P$2,100*P76/P73,"-")</f>
        <v>-</v>
      </c>
      <c r="Q83" s="69" t="str">
        <f>IF('Mode d''emploi'!$F$6&gt;=Q$2,100*Q76/Q73,"-")</f>
        <v>-</v>
      </c>
      <c r="R83" s="69" t="str">
        <f>IF('Mode d''emploi'!$F$6&gt;=R$2,100*R76/R73,"-")</f>
        <v>-</v>
      </c>
      <c r="S83" s="69" t="str">
        <f>IF('Mode d''emploi'!$F$6&gt;=S$2,100*S76/S73,"-")</f>
        <v>-</v>
      </c>
      <c r="T83" s="69" t="str">
        <f>IF('Mode d''emploi'!$F$6&gt;=T$2,100*T76/T73,"-")</f>
        <v>-</v>
      </c>
    </row>
    <row r="84" spans="2:20" x14ac:dyDescent="0.25">
      <c r="B84" t="s">
        <v>75</v>
      </c>
      <c r="C84" s="69">
        <f>IF('Mode d''emploi'!$F$6&gt;=C$2,100*C77/C73,"-")</f>
        <v>5.0061329683254465</v>
      </c>
      <c r="D84" s="69" t="str">
        <f>IF('Mode d''emploi'!$F$6&gt;=D$2,100*D77/D73,"-")</f>
        <v>-</v>
      </c>
      <c r="E84" s="69" t="str">
        <f>IF('Mode d''emploi'!$F$6&gt;=E$2,100*E77/E73,"-")</f>
        <v>-</v>
      </c>
      <c r="F84" s="69" t="str">
        <f>IF('Mode d''emploi'!$F$6&gt;=F$2,100*F77/F73,"-")</f>
        <v>-</v>
      </c>
      <c r="G84" s="69" t="str">
        <f>IF('Mode d''emploi'!$F$6&gt;=G$2,100*G77/G73,"-")</f>
        <v>-</v>
      </c>
      <c r="H84" s="69" t="str">
        <f>IF('Mode d''emploi'!$F$6&gt;=H$2,100*H77/H73,"-")</f>
        <v>-</v>
      </c>
      <c r="I84" s="69" t="str">
        <f>IF('Mode d''emploi'!$F$6&gt;=I$2,100*I77/I73,"-")</f>
        <v>-</v>
      </c>
      <c r="J84" s="69" t="str">
        <f>IF('Mode d''emploi'!$F$6&gt;=J$2,100*J77/J73,"-")</f>
        <v>-</v>
      </c>
      <c r="K84" s="69" t="str">
        <f>IF('Mode d''emploi'!$F$6&gt;=K$2,100*K77/K73,"-")</f>
        <v>-</v>
      </c>
      <c r="L84" s="69" t="str">
        <f>IF('Mode d''emploi'!$F$6&gt;=L$2,100*L77/L73,"-")</f>
        <v>-</v>
      </c>
      <c r="M84" s="69" t="str">
        <f>IF('Mode d''emploi'!$F$6&gt;=M$2,100*M77/M73,"-")</f>
        <v>-</v>
      </c>
      <c r="N84" s="69" t="str">
        <f>IF('Mode d''emploi'!$F$6&gt;=N$2,100*N77/N73,"-")</f>
        <v>-</v>
      </c>
      <c r="O84" s="69" t="str">
        <f>IF('Mode d''emploi'!$F$6&gt;=O$2,100*O77/O73,"-")</f>
        <v>-</v>
      </c>
      <c r="P84" s="69" t="str">
        <f>IF('Mode d''emploi'!$F$6&gt;=P$2,100*P77/P73,"-")</f>
        <v>-</v>
      </c>
      <c r="Q84" s="69" t="str">
        <f>IF('Mode d''emploi'!$F$6&gt;=Q$2,100*Q77/Q73,"-")</f>
        <v>-</v>
      </c>
      <c r="R84" s="69" t="str">
        <f>IF('Mode d''emploi'!$F$6&gt;=R$2,100*R77/R73,"-")</f>
        <v>-</v>
      </c>
      <c r="S84" s="69" t="str">
        <f>IF('Mode d''emploi'!$F$6&gt;=S$2,100*S77/S73,"-")</f>
        <v>-</v>
      </c>
      <c r="T84" s="69" t="str">
        <f>IF('Mode d''emploi'!$F$6&gt;=T$2,100*T77/T73,"-")</f>
        <v>-</v>
      </c>
    </row>
    <row r="85" spans="2:20" x14ac:dyDescent="0.25">
      <c r="B85" t="s">
        <v>69</v>
      </c>
      <c r="C85" s="69">
        <f>IF('Mode d''emploi'!$F$6&gt;=C$2,100*C78/C79,"-")</f>
        <v>32.492580825513699</v>
      </c>
      <c r="D85" s="69" t="str">
        <f>IF('Mode d''emploi'!$F$6&gt;=D$2,100*D78/D79,"-")</f>
        <v>-</v>
      </c>
      <c r="E85" s="69" t="str">
        <f>IF('Mode d''emploi'!$F$6&gt;=E$2,100*E78/E79,"-")</f>
        <v>-</v>
      </c>
      <c r="F85" s="69" t="str">
        <f>IF('Mode d''emploi'!$F$6&gt;=F$2,100*F78/F79,"-")</f>
        <v>-</v>
      </c>
      <c r="G85" s="69" t="str">
        <f>IF('Mode d''emploi'!$F$6&gt;=G$2,100*G78/G79,"-")</f>
        <v>-</v>
      </c>
      <c r="H85" s="69" t="str">
        <f>IF('Mode d''emploi'!$F$6&gt;=H$2,100*H78/H79,"-")</f>
        <v>-</v>
      </c>
      <c r="I85" s="69" t="str">
        <f>IF('Mode d''emploi'!$F$6&gt;=I$2,100*I78/I79,"-")</f>
        <v>-</v>
      </c>
      <c r="J85" s="69" t="str">
        <f>IF('Mode d''emploi'!$F$6&gt;=J$2,100*J78/J79,"-")</f>
        <v>-</v>
      </c>
      <c r="K85" s="69" t="str">
        <f>IF('Mode d''emploi'!$F$6&gt;=K$2,100*K78/K79,"-")</f>
        <v>-</v>
      </c>
      <c r="L85" s="69" t="str">
        <f>IF('Mode d''emploi'!$F$6&gt;=L$2,100*L78/L79,"-")</f>
        <v>-</v>
      </c>
      <c r="M85" s="69" t="str">
        <f>IF('Mode d''emploi'!$F$6&gt;=M$2,100*M78/M79,"-")</f>
        <v>-</v>
      </c>
      <c r="N85" s="69" t="str">
        <f>IF('Mode d''emploi'!$F$6&gt;=N$2,100*N78/N79,"-")</f>
        <v>-</v>
      </c>
      <c r="O85" s="69" t="str">
        <f>IF('Mode d''emploi'!$F$6&gt;=O$2,100*O78/O79,"-")</f>
        <v>-</v>
      </c>
      <c r="P85" s="69" t="str">
        <f>IF('Mode d''emploi'!$F$6&gt;=P$2,100*P78/P79,"-")</f>
        <v>-</v>
      </c>
      <c r="Q85" s="69" t="str">
        <f>IF('Mode d''emploi'!$F$6&gt;=Q$2,100*Q78/Q79,"-")</f>
        <v>-</v>
      </c>
      <c r="R85" s="69" t="str">
        <f>IF('Mode d''emploi'!$F$6&gt;=R$2,100*R78/R79,"-")</f>
        <v>-</v>
      </c>
      <c r="S85" s="69" t="str">
        <f>IF('Mode d''emploi'!$F$6&gt;=S$2,100*S78/S79,"-")</f>
        <v>-</v>
      </c>
      <c r="T85" s="69" t="str">
        <f>IF('Mode d''emploi'!$F$6&gt;=T$2,100*T78/T79,"-")</f>
        <v>-</v>
      </c>
    </row>
    <row r="86" spans="2:20" x14ac:dyDescent="0.25">
      <c r="B86" t="s">
        <v>70</v>
      </c>
      <c r="C86" s="69">
        <f>IF('Mode d''emploi'!$F$6&gt;=C$2,100*C76/C79,"-")</f>
        <v>28.993142923853856</v>
      </c>
      <c r="D86" s="69" t="str">
        <f>IF('Mode d''emploi'!$F$6&gt;=D$2,100*D76/D79,"-")</f>
        <v>-</v>
      </c>
      <c r="E86" s="69" t="str">
        <f>IF('Mode d''emploi'!$F$6&gt;=E$2,100*E76/E79,"-")</f>
        <v>-</v>
      </c>
      <c r="F86" s="69" t="str">
        <f>IF('Mode d''emploi'!$F$6&gt;=F$2,100*F76/F79,"-")</f>
        <v>-</v>
      </c>
      <c r="G86" s="69" t="str">
        <f>IF('Mode d''emploi'!$F$6&gt;=G$2,100*G76/G79,"-")</f>
        <v>-</v>
      </c>
      <c r="H86" s="69" t="str">
        <f>IF('Mode d''emploi'!$F$6&gt;=H$2,100*H76/H79,"-")</f>
        <v>-</v>
      </c>
      <c r="I86" s="69" t="str">
        <f>IF('Mode d''emploi'!$F$6&gt;=I$2,100*I76/I79,"-")</f>
        <v>-</v>
      </c>
      <c r="J86" s="69" t="str">
        <f>IF('Mode d''emploi'!$F$6&gt;=J$2,100*J76/J79,"-")</f>
        <v>-</v>
      </c>
      <c r="K86" s="69" t="str">
        <f>IF('Mode d''emploi'!$F$6&gt;=K$2,100*K76/K79,"-")</f>
        <v>-</v>
      </c>
      <c r="L86" s="69" t="str">
        <f>IF('Mode d''emploi'!$F$6&gt;=L$2,100*L76/L79,"-")</f>
        <v>-</v>
      </c>
      <c r="M86" s="69" t="str">
        <f>IF('Mode d''emploi'!$F$6&gt;=M$2,100*M76/M79,"-")</f>
        <v>-</v>
      </c>
      <c r="N86" s="69" t="str">
        <f>IF('Mode d''emploi'!$F$6&gt;=N$2,100*N76/N79,"-")</f>
        <v>-</v>
      </c>
      <c r="O86" s="69" t="str">
        <f>IF('Mode d''emploi'!$F$6&gt;=O$2,100*O76/O79,"-")</f>
        <v>-</v>
      </c>
      <c r="P86" s="69" t="str">
        <f>IF('Mode d''emploi'!$F$6&gt;=P$2,100*P76/P79,"-")</f>
        <v>-</v>
      </c>
      <c r="Q86" s="69" t="str">
        <f>IF('Mode d''emploi'!$F$6&gt;=Q$2,100*Q76/Q79,"-")</f>
        <v>-</v>
      </c>
      <c r="R86" s="69" t="str">
        <f>IF('Mode d''emploi'!$F$6&gt;=R$2,100*R76/R79,"-")</f>
        <v>-</v>
      </c>
      <c r="S86" s="69" t="str">
        <f>IF('Mode d''emploi'!$F$6&gt;=S$2,100*S76/S79,"-")</f>
        <v>-</v>
      </c>
      <c r="T86" s="69" t="str">
        <f>IF('Mode d''emploi'!$F$6&gt;=T$2,100*T76/T79,"-")</f>
        <v>-</v>
      </c>
    </row>
  </sheetData>
  <pageMargins left="0.7" right="0.7" top="0.75" bottom="0.75" header="0.3" footer="0.3"/>
  <pageSetup paperSize="9" orientation="portrait" r:id="rId1"/>
  <ignoredErrors>
    <ignoredError sqref="B5 B28" twoDigitTextYear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</sheetPr>
  <dimension ref="A1:S22"/>
  <sheetViews>
    <sheetView workbookViewId="0"/>
  </sheetViews>
  <sheetFormatPr baseColWidth="10" defaultColWidth="11" defaultRowHeight="13.8" x14ac:dyDescent="0.25"/>
  <cols>
    <col min="1" max="1" width="12.19921875" customWidth="1"/>
  </cols>
  <sheetData>
    <row r="1" spans="1:19" ht="14.4" thickBot="1" x14ac:dyDescent="0.3"/>
    <row r="2" spans="1:19" ht="14.4" thickBot="1" x14ac:dyDescent="0.3">
      <c r="A2" t="s">
        <v>43</v>
      </c>
      <c r="B2" t="s">
        <v>44</v>
      </c>
      <c r="C2" s="1" t="s">
        <v>24</v>
      </c>
      <c r="D2" s="2" t="s">
        <v>25</v>
      </c>
      <c r="E2" s="2" t="s">
        <v>26</v>
      </c>
      <c r="F2" s="2" t="s">
        <v>27</v>
      </c>
      <c r="G2" s="2" t="s">
        <v>28</v>
      </c>
      <c r="H2" s="2" t="s">
        <v>29</v>
      </c>
      <c r="I2" s="2" t="s">
        <v>30</v>
      </c>
      <c r="J2" s="2" t="s">
        <v>31</v>
      </c>
      <c r="K2" s="2" t="s">
        <v>32</v>
      </c>
      <c r="L2" s="2" t="s">
        <v>33</v>
      </c>
      <c r="M2" s="2" t="s">
        <v>34</v>
      </c>
      <c r="N2" s="2" t="s">
        <v>35</v>
      </c>
      <c r="O2" s="2" t="s">
        <v>36</v>
      </c>
      <c r="P2" s="2" t="s">
        <v>37</v>
      </c>
      <c r="Q2" s="2" t="s">
        <v>38</v>
      </c>
      <c r="R2" s="2" t="s">
        <v>39</v>
      </c>
      <c r="S2" s="3" t="s">
        <v>40</v>
      </c>
    </row>
    <row r="3" spans="1:19" x14ac:dyDescent="0.25">
      <c r="A3" s="10" t="s">
        <v>9</v>
      </c>
      <c r="B3" s="10" t="s">
        <v>0</v>
      </c>
      <c r="C3" s="23">
        <f>LOOKUP('Hypothèses et Graphiques'!D$3,'Liste Taux Fécondité'!$C$1:$AR$1,'Liste Taux Fécondité'!$C2:$AR2)</f>
        <v>0</v>
      </c>
      <c r="D3" s="23">
        <f>LOOKUP('Hypothèses et Graphiques'!E$3,'Liste Taux Fécondité'!$C$1:$AR$1,'Liste Taux Fécondité'!$C2:$AR2)</f>
        <v>0</v>
      </c>
      <c r="E3" s="23">
        <f>LOOKUP('Hypothèses et Graphiques'!F$3,'Liste Taux Fécondité'!$C$1:$AR$1,'Liste Taux Fécondité'!$C2:$AR2)</f>
        <v>0</v>
      </c>
      <c r="F3" s="23">
        <f>LOOKUP('Hypothèses et Graphiques'!G$3,'Liste Taux Fécondité'!$C$1:$AR$1,'Liste Taux Fécondité'!$C2:$AR2)</f>
        <v>0</v>
      </c>
      <c r="G3" s="23">
        <f>LOOKUP('Hypothèses et Graphiques'!H$3,'Liste Taux Fécondité'!$C$1:$AR$1,'Liste Taux Fécondité'!$C2:$AR2)</f>
        <v>0</v>
      </c>
      <c r="H3" s="23">
        <f>LOOKUP('Hypothèses et Graphiques'!I$3,'Liste Taux Fécondité'!$C$1:$AR$1,'Liste Taux Fécondité'!$C2:$AR2)</f>
        <v>0</v>
      </c>
      <c r="I3" s="23">
        <f>LOOKUP('Hypothèses et Graphiques'!J$3,'Liste Taux Fécondité'!$C$1:$AR$1,'Liste Taux Fécondité'!$C2:$AR2)</f>
        <v>0</v>
      </c>
      <c r="J3" s="23">
        <f>LOOKUP('Hypothèses et Graphiques'!K$3,'Liste Taux Fécondité'!$C$1:$AR$1,'Liste Taux Fécondité'!$C2:$AR2)</f>
        <v>0</v>
      </c>
      <c r="K3" s="23">
        <f>LOOKUP('Hypothèses et Graphiques'!L$3,'Liste Taux Fécondité'!$C$1:$AR$1,'Liste Taux Fécondité'!$C2:$AR2)</f>
        <v>0</v>
      </c>
      <c r="L3" s="23">
        <f>LOOKUP('Hypothèses et Graphiques'!M$3,'Liste Taux Fécondité'!$C$1:$AR$1,'Liste Taux Fécondité'!$C2:$AR2)</f>
        <v>0</v>
      </c>
      <c r="M3" s="23">
        <f>LOOKUP('Hypothèses et Graphiques'!N$3,'Liste Taux Fécondité'!$C$1:$AR$1,'Liste Taux Fécondité'!$C2:$AR2)</f>
        <v>0</v>
      </c>
      <c r="N3" s="23">
        <f>LOOKUP('Hypothèses et Graphiques'!O$3,'Liste Taux Fécondité'!$C$1:$AR$1,'Liste Taux Fécondité'!$C2:$AR2)</f>
        <v>0</v>
      </c>
      <c r="O3" s="23">
        <f>LOOKUP('Hypothèses et Graphiques'!P$3,'Liste Taux Fécondité'!$C$1:$AR$1,'Liste Taux Fécondité'!$C2:$AR2)</f>
        <v>0</v>
      </c>
      <c r="P3" s="23">
        <f>LOOKUP('Hypothèses et Graphiques'!Q$3,'Liste Taux Fécondité'!$C$1:$AR$1,'Liste Taux Fécondité'!$C2:$AR2)</f>
        <v>0</v>
      </c>
      <c r="Q3" s="23">
        <f>LOOKUP('Hypothèses et Graphiques'!R$3,'Liste Taux Fécondité'!$C$1:$AR$1,'Liste Taux Fécondité'!$C2:$AR2)</f>
        <v>0</v>
      </c>
      <c r="R3" s="23">
        <f>LOOKUP('Hypothèses et Graphiques'!S$3,'Liste Taux Fécondité'!$C$1:$AR$1,'Liste Taux Fécondité'!$C2:$AR2)</f>
        <v>0</v>
      </c>
      <c r="S3" s="23">
        <f>LOOKUP('Hypothèses et Graphiques'!T$3,'Liste Taux Fécondité'!$C$1:$AR$1,'Liste Taux Fécondité'!$C2:$AR2)</f>
        <v>0</v>
      </c>
    </row>
    <row r="4" spans="1:19" x14ac:dyDescent="0.25">
      <c r="A4" s="5" t="s">
        <v>0</v>
      </c>
      <c r="B4" s="5" t="s">
        <v>1</v>
      </c>
      <c r="C4" s="23">
        <f>LOOKUP('Hypothèses et Graphiques'!D$3,'Liste Taux Fécondité'!$C$1:$AR$1,'Liste Taux Fécondité'!$C3:$AR3)</f>
        <v>0</v>
      </c>
      <c r="D4" s="23">
        <f>LOOKUP('Hypothèses et Graphiques'!E$3,'Liste Taux Fécondité'!$C$1:$AR$1,'Liste Taux Fécondité'!$C3:$AR3)</f>
        <v>0</v>
      </c>
      <c r="E4" s="23">
        <f>LOOKUP('Hypothèses et Graphiques'!F$3,'Liste Taux Fécondité'!$C$1:$AR$1,'Liste Taux Fécondité'!$C3:$AR3)</f>
        <v>0</v>
      </c>
      <c r="F4" s="23">
        <f>LOOKUP('Hypothèses et Graphiques'!G$3,'Liste Taux Fécondité'!$C$1:$AR$1,'Liste Taux Fécondité'!$C3:$AR3)</f>
        <v>0</v>
      </c>
      <c r="G4" s="23">
        <f>LOOKUP('Hypothèses et Graphiques'!H$3,'Liste Taux Fécondité'!$C$1:$AR$1,'Liste Taux Fécondité'!$C3:$AR3)</f>
        <v>0</v>
      </c>
      <c r="H4" s="23">
        <f>LOOKUP('Hypothèses et Graphiques'!I$3,'Liste Taux Fécondité'!$C$1:$AR$1,'Liste Taux Fécondité'!$C3:$AR3)</f>
        <v>0</v>
      </c>
      <c r="I4" s="23">
        <f>LOOKUP('Hypothèses et Graphiques'!J$3,'Liste Taux Fécondité'!$C$1:$AR$1,'Liste Taux Fécondité'!$C3:$AR3)</f>
        <v>0</v>
      </c>
      <c r="J4" s="23">
        <f>LOOKUP('Hypothèses et Graphiques'!K$3,'Liste Taux Fécondité'!$C$1:$AR$1,'Liste Taux Fécondité'!$C3:$AR3)</f>
        <v>0</v>
      </c>
      <c r="K4" s="23">
        <f>LOOKUP('Hypothèses et Graphiques'!L$3,'Liste Taux Fécondité'!$C$1:$AR$1,'Liste Taux Fécondité'!$C3:$AR3)</f>
        <v>0</v>
      </c>
      <c r="L4" s="23">
        <f>LOOKUP('Hypothèses et Graphiques'!M$3,'Liste Taux Fécondité'!$C$1:$AR$1,'Liste Taux Fécondité'!$C3:$AR3)</f>
        <v>0</v>
      </c>
      <c r="M4" s="23">
        <f>LOOKUP('Hypothèses et Graphiques'!N$3,'Liste Taux Fécondité'!$C$1:$AR$1,'Liste Taux Fécondité'!$C3:$AR3)</f>
        <v>0</v>
      </c>
      <c r="N4" s="23">
        <f>LOOKUP('Hypothèses et Graphiques'!O$3,'Liste Taux Fécondité'!$C$1:$AR$1,'Liste Taux Fécondité'!$C3:$AR3)</f>
        <v>0</v>
      </c>
      <c r="O4" s="23">
        <f>LOOKUP('Hypothèses et Graphiques'!P$3,'Liste Taux Fécondité'!$C$1:$AR$1,'Liste Taux Fécondité'!$C3:$AR3)</f>
        <v>0</v>
      </c>
      <c r="P4" s="23">
        <f>LOOKUP('Hypothèses et Graphiques'!Q$3,'Liste Taux Fécondité'!$C$1:$AR$1,'Liste Taux Fécondité'!$C3:$AR3)</f>
        <v>0</v>
      </c>
      <c r="Q4" s="23">
        <f>LOOKUP('Hypothèses et Graphiques'!R$3,'Liste Taux Fécondité'!$C$1:$AR$1,'Liste Taux Fécondité'!$C3:$AR3)</f>
        <v>0</v>
      </c>
      <c r="R4" s="23">
        <f>LOOKUP('Hypothèses et Graphiques'!S$3,'Liste Taux Fécondité'!$C$1:$AR$1,'Liste Taux Fécondité'!$C3:$AR3)</f>
        <v>0</v>
      </c>
      <c r="S4" s="23">
        <f>LOOKUP('Hypothèses et Graphiques'!T$3,'Liste Taux Fécondité'!$C$1:$AR$1,'Liste Taux Fécondité'!$C3:$AR3)</f>
        <v>0</v>
      </c>
    </row>
    <row r="5" spans="1:19" x14ac:dyDescent="0.25">
      <c r="A5" s="5" t="s">
        <v>1</v>
      </c>
      <c r="B5" s="5" t="s">
        <v>2</v>
      </c>
      <c r="C5" s="23">
        <f>LOOKUP('Hypothèses et Graphiques'!D$3,'Liste Taux Fécondité'!$C$1:$AR$1,'Liste Taux Fécondité'!$C4:$AR4)</f>
        <v>0</v>
      </c>
      <c r="D5" s="23">
        <f>LOOKUP('Hypothèses et Graphiques'!E$3,'Liste Taux Fécondité'!$C$1:$AR$1,'Liste Taux Fécondité'!$C4:$AR4)</f>
        <v>0</v>
      </c>
      <c r="E5" s="23">
        <f>LOOKUP('Hypothèses et Graphiques'!F$3,'Liste Taux Fécondité'!$C$1:$AR$1,'Liste Taux Fécondité'!$C4:$AR4)</f>
        <v>0</v>
      </c>
      <c r="F5" s="23">
        <f>LOOKUP('Hypothèses et Graphiques'!G$3,'Liste Taux Fécondité'!$C$1:$AR$1,'Liste Taux Fécondité'!$C4:$AR4)</f>
        <v>0</v>
      </c>
      <c r="G5" s="23">
        <f>LOOKUP('Hypothèses et Graphiques'!H$3,'Liste Taux Fécondité'!$C$1:$AR$1,'Liste Taux Fécondité'!$C4:$AR4)</f>
        <v>0</v>
      </c>
      <c r="H5" s="23">
        <f>LOOKUP('Hypothèses et Graphiques'!I$3,'Liste Taux Fécondité'!$C$1:$AR$1,'Liste Taux Fécondité'!$C4:$AR4)</f>
        <v>0</v>
      </c>
      <c r="I5" s="23">
        <f>LOOKUP('Hypothèses et Graphiques'!J$3,'Liste Taux Fécondité'!$C$1:$AR$1,'Liste Taux Fécondité'!$C4:$AR4)</f>
        <v>0</v>
      </c>
      <c r="J5" s="23">
        <f>LOOKUP('Hypothèses et Graphiques'!K$3,'Liste Taux Fécondité'!$C$1:$AR$1,'Liste Taux Fécondité'!$C4:$AR4)</f>
        <v>0</v>
      </c>
      <c r="K5" s="23">
        <f>LOOKUP('Hypothèses et Graphiques'!L$3,'Liste Taux Fécondité'!$C$1:$AR$1,'Liste Taux Fécondité'!$C4:$AR4)</f>
        <v>0</v>
      </c>
      <c r="L5" s="23">
        <f>LOOKUP('Hypothèses et Graphiques'!M$3,'Liste Taux Fécondité'!$C$1:$AR$1,'Liste Taux Fécondité'!$C4:$AR4)</f>
        <v>0</v>
      </c>
      <c r="M5" s="23">
        <f>LOOKUP('Hypothèses et Graphiques'!N$3,'Liste Taux Fécondité'!$C$1:$AR$1,'Liste Taux Fécondité'!$C4:$AR4)</f>
        <v>0</v>
      </c>
      <c r="N5" s="23">
        <f>LOOKUP('Hypothèses et Graphiques'!O$3,'Liste Taux Fécondité'!$C$1:$AR$1,'Liste Taux Fécondité'!$C4:$AR4)</f>
        <v>0</v>
      </c>
      <c r="O5" s="23">
        <f>LOOKUP('Hypothèses et Graphiques'!P$3,'Liste Taux Fécondité'!$C$1:$AR$1,'Liste Taux Fécondité'!$C4:$AR4)</f>
        <v>0</v>
      </c>
      <c r="P5" s="23">
        <f>LOOKUP('Hypothèses et Graphiques'!Q$3,'Liste Taux Fécondité'!$C$1:$AR$1,'Liste Taux Fécondité'!$C4:$AR4)</f>
        <v>0</v>
      </c>
      <c r="Q5" s="23">
        <f>LOOKUP('Hypothèses et Graphiques'!R$3,'Liste Taux Fécondité'!$C$1:$AR$1,'Liste Taux Fécondité'!$C4:$AR4)</f>
        <v>0</v>
      </c>
      <c r="R5" s="23">
        <f>LOOKUP('Hypothèses et Graphiques'!S$3,'Liste Taux Fécondité'!$C$1:$AR$1,'Liste Taux Fécondité'!$C4:$AR4)</f>
        <v>0</v>
      </c>
      <c r="S5" s="23">
        <f>LOOKUP('Hypothèses et Graphiques'!T$3,'Liste Taux Fécondité'!$C$1:$AR$1,'Liste Taux Fécondité'!$C4:$AR4)</f>
        <v>0</v>
      </c>
    </row>
    <row r="6" spans="1:19" x14ac:dyDescent="0.25">
      <c r="A6" s="5" t="s">
        <v>2</v>
      </c>
      <c r="B6" s="5" t="s">
        <v>3</v>
      </c>
      <c r="C6" s="23">
        <f>LOOKUP('Hypothèses et Graphiques'!D$3,'Liste Taux Fécondité'!$C$1:$AR$1,'Liste Taux Fécondité'!$C5:$AR5)</f>
        <v>0</v>
      </c>
      <c r="D6" s="23">
        <f>LOOKUP('Hypothèses et Graphiques'!E$3,'Liste Taux Fécondité'!$C$1:$AR$1,'Liste Taux Fécondité'!$C5:$AR5)</f>
        <v>0</v>
      </c>
      <c r="E6" s="23">
        <f>LOOKUP('Hypothèses et Graphiques'!F$3,'Liste Taux Fécondité'!$C$1:$AR$1,'Liste Taux Fécondité'!$C5:$AR5)</f>
        <v>0</v>
      </c>
      <c r="F6" s="23">
        <f>LOOKUP('Hypothèses et Graphiques'!G$3,'Liste Taux Fécondité'!$C$1:$AR$1,'Liste Taux Fécondité'!$C5:$AR5)</f>
        <v>0</v>
      </c>
      <c r="G6" s="23">
        <f>LOOKUP('Hypothèses et Graphiques'!H$3,'Liste Taux Fécondité'!$C$1:$AR$1,'Liste Taux Fécondité'!$C5:$AR5)</f>
        <v>0</v>
      </c>
      <c r="H6" s="23">
        <f>LOOKUP('Hypothèses et Graphiques'!I$3,'Liste Taux Fécondité'!$C$1:$AR$1,'Liste Taux Fécondité'!$C5:$AR5)</f>
        <v>0</v>
      </c>
      <c r="I6" s="23">
        <f>LOOKUP('Hypothèses et Graphiques'!J$3,'Liste Taux Fécondité'!$C$1:$AR$1,'Liste Taux Fécondité'!$C5:$AR5)</f>
        <v>0</v>
      </c>
      <c r="J6" s="23">
        <f>LOOKUP('Hypothèses et Graphiques'!K$3,'Liste Taux Fécondité'!$C$1:$AR$1,'Liste Taux Fécondité'!$C5:$AR5)</f>
        <v>0</v>
      </c>
      <c r="K6" s="23">
        <f>LOOKUP('Hypothèses et Graphiques'!L$3,'Liste Taux Fécondité'!$C$1:$AR$1,'Liste Taux Fécondité'!$C5:$AR5)</f>
        <v>0</v>
      </c>
      <c r="L6" s="23">
        <f>LOOKUP('Hypothèses et Graphiques'!M$3,'Liste Taux Fécondité'!$C$1:$AR$1,'Liste Taux Fécondité'!$C5:$AR5)</f>
        <v>0</v>
      </c>
      <c r="M6" s="23">
        <f>LOOKUP('Hypothèses et Graphiques'!N$3,'Liste Taux Fécondité'!$C$1:$AR$1,'Liste Taux Fécondité'!$C5:$AR5)</f>
        <v>0</v>
      </c>
      <c r="N6" s="23">
        <f>LOOKUP('Hypothèses et Graphiques'!O$3,'Liste Taux Fécondité'!$C$1:$AR$1,'Liste Taux Fécondité'!$C5:$AR5)</f>
        <v>0</v>
      </c>
      <c r="O6" s="23">
        <f>LOOKUP('Hypothèses et Graphiques'!P$3,'Liste Taux Fécondité'!$C$1:$AR$1,'Liste Taux Fécondité'!$C5:$AR5)</f>
        <v>0</v>
      </c>
      <c r="P6" s="23">
        <f>LOOKUP('Hypothèses et Graphiques'!Q$3,'Liste Taux Fécondité'!$C$1:$AR$1,'Liste Taux Fécondité'!$C5:$AR5)</f>
        <v>0</v>
      </c>
      <c r="Q6" s="23">
        <f>LOOKUP('Hypothèses et Graphiques'!R$3,'Liste Taux Fécondité'!$C$1:$AR$1,'Liste Taux Fécondité'!$C5:$AR5)</f>
        <v>0</v>
      </c>
      <c r="R6" s="23">
        <f>LOOKUP('Hypothèses et Graphiques'!S$3,'Liste Taux Fécondité'!$C$1:$AR$1,'Liste Taux Fécondité'!$C5:$AR5)</f>
        <v>0</v>
      </c>
      <c r="S6" s="23">
        <f>LOOKUP('Hypothèses et Graphiques'!T$3,'Liste Taux Fécondité'!$C$1:$AR$1,'Liste Taux Fécondité'!$C5:$AR5)</f>
        <v>0</v>
      </c>
    </row>
    <row r="7" spans="1:19" x14ac:dyDescent="0.25">
      <c r="A7" s="5" t="s">
        <v>3</v>
      </c>
      <c r="B7" s="5" t="s">
        <v>4</v>
      </c>
      <c r="C7" s="23">
        <f>LOOKUP('Hypothèses et Graphiques'!D$3,'Liste Taux Fécondité'!$C$1:$AR$1,'Liste Taux Fécondité'!$C6:$AR6)</f>
        <v>0</v>
      </c>
      <c r="D7" s="23">
        <f>LOOKUP('Hypothèses et Graphiques'!E$3,'Liste Taux Fécondité'!$C$1:$AR$1,'Liste Taux Fécondité'!$C6:$AR6)</f>
        <v>0</v>
      </c>
      <c r="E7" s="23">
        <f>LOOKUP('Hypothèses et Graphiques'!F$3,'Liste Taux Fécondité'!$C$1:$AR$1,'Liste Taux Fécondité'!$C6:$AR6)</f>
        <v>0</v>
      </c>
      <c r="F7" s="23">
        <f>LOOKUP('Hypothèses et Graphiques'!G$3,'Liste Taux Fécondité'!$C$1:$AR$1,'Liste Taux Fécondité'!$C6:$AR6)</f>
        <v>0</v>
      </c>
      <c r="G7" s="23">
        <f>LOOKUP('Hypothèses et Graphiques'!H$3,'Liste Taux Fécondité'!$C$1:$AR$1,'Liste Taux Fécondité'!$C6:$AR6)</f>
        <v>0</v>
      </c>
      <c r="H7" s="23">
        <f>LOOKUP('Hypothèses et Graphiques'!I$3,'Liste Taux Fécondité'!$C$1:$AR$1,'Liste Taux Fécondité'!$C6:$AR6)</f>
        <v>0</v>
      </c>
      <c r="I7" s="23">
        <f>LOOKUP('Hypothèses et Graphiques'!J$3,'Liste Taux Fécondité'!$C$1:$AR$1,'Liste Taux Fécondité'!$C6:$AR6)</f>
        <v>0</v>
      </c>
      <c r="J7" s="23">
        <f>LOOKUP('Hypothèses et Graphiques'!K$3,'Liste Taux Fécondité'!$C$1:$AR$1,'Liste Taux Fécondité'!$C6:$AR6)</f>
        <v>0</v>
      </c>
      <c r="K7" s="23">
        <f>LOOKUP('Hypothèses et Graphiques'!L$3,'Liste Taux Fécondité'!$C$1:$AR$1,'Liste Taux Fécondité'!$C6:$AR6)</f>
        <v>0</v>
      </c>
      <c r="L7" s="23">
        <f>LOOKUP('Hypothèses et Graphiques'!M$3,'Liste Taux Fécondité'!$C$1:$AR$1,'Liste Taux Fécondité'!$C6:$AR6)</f>
        <v>0</v>
      </c>
      <c r="M7" s="23">
        <f>LOOKUP('Hypothèses et Graphiques'!N$3,'Liste Taux Fécondité'!$C$1:$AR$1,'Liste Taux Fécondité'!$C6:$AR6)</f>
        <v>0</v>
      </c>
      <c r="N7" s="23">
        <f>LOOKUP('Hypothèses et Graphiques'!O$3,'Liste Taux Fécondité'!$C$1:$AR$1,'Liste Taux Fécondité'!$C6:$AR6)</f>
        <v>0</v>
      </c>
      <c r="O7" s="23">
        <f>LOOKUP('Hypothèses et Graphiques'!P$3,'Liste Taux Fécondité'!$C$1:$AR$1,'Liste Taux Fécondité'!$C6:$AR6)</f>
        <v>0</v>
      </c>
      <c r="P7" s="23">
        <f>LOOKUP('Hypothèses et Graphiques'!Q$3,'Liste Taux Fécondité'!$C$1:$AR$1,'Liste Taux Fécondité'!$C6:$AR6)</f>
        <v>0</v>
      </c>
      <c r="Q7" s="23">
        <f>LOOKUP('Hypothèses et Graphiques'!R$3,'Liste Taux Fécondité'!$C$1:$AR$1,'Liste Taux Fécondité'!$C6:$AR6)</f>
        <v>0</v>
      </c>
      <c r="R7" s="23">
        <f>LOOKUP('Hypothèses et Graphiques'!S$3,'Liste Taux Fécondité'!$C$1:$AR$1,'Liste Taux Fécondité'!$C6:$AR6)</f>
        <v>0</v>
      </c>
      <c r="S7" s="23">
        <f>LOOKUP('Hypothèses et Graphiques'!T$3,'Liste Taux Fécondité'!$C$1:$AR$1,'Liste Taux Fécondité'!$C6:$AR6)</f>
        <v>0</v>
      </c>
    </row>
    <row r="8" spans="1:19" x14ac:dyDescent="0.25">
      <c r="A8" s="5" t="s">
        <v>4</v>
      </c>
      <c r="B8" s="5" t="s">
        <v>5</v>
      </c>
      <c r="C8" s="23">
        <f>LOOKUP('Hypothèses et Graphiques'!D$3,'Liste Taux Fécondité'!$C$1:$AR$1,'Liste Taux Fécondité'!$C7:$AR7)</f>
        <v>0</v>
      </c>
      <c r="D8" s="23">
        <f>LOOKUP('Hypothèses et Graphiques'!E$3,'Liste Taux Fécondité'!$C$1:$AR$1,'Liste Taux Fécondité'!$C7:$AR7)</f>
        <v>0</v>
      </c>
      <c r="E8" s="23">
        <f>LOOKUP('Hypothèses et Graphiques'!F$3,'Liste Taux Fécondité'!$C$1:$AR$1,'Liste Taux Fécondité'!$C7:$AR7)</f>
        <v>0</v>
      </c>
      <c r="F8" s="23">
        <f>LOOKUP('Hypothèses et Graphiques'!G$3,'Liste Taux Fécondité'!$C$1:$AR$1,'Liste Taux Fécondité'!$C7:$AR7)</f>
        <v>0</v>
      </c>
      <c r="G8" s="23">
        <f>LOOKUP('Hypothèses et Graphiques'!H$3,'Liste Taux Fécondité'!$C$1:$AR$1,'Liste Taux Fécondité'!$C7:$AR7)</f>
        <v>0</v>
      </c>
      <c r="H8" s="23">
        <f>LOOKUP('Hypothèses et Graphiques'!I$3,'Liste Taux Fécondité'!$C$1:$AR$1,'Liste Taux Fécondité'!$C7:$AR7)</f>
        <v>0</v>
      </c>
      <c r="I8" s="23">
        <f>LOOKUP('Hypothèses et Graphiques'!J$3,'Liste Taux Fécondité'!$C$1:$AR$1,'Liste Taux Fécondité'!$C7:$AR7)</f>
        <v>0</v>
      </c>
      <c r="J8" s="23">
        <f>LOOKUP('Hypothèses et Graphiques'!K$3,'Liste Taux Fécondité'!$C$1:$AR$1,'Liste Taux Fécondité'!$C7:$AR7)</f>
        <v>0</v>
      </c>
      <c r="K8" s="23">
        <f>LOOKUP('Hypothèses et Graphiques'!L$3,'Liste Taux Fécondité'!$C$1:$AR$1,'Liste Taux Fécondité'!$C7:$AR7)</f>
        <v>0</v>
      </c>
      <c r="L8" s="23">
        <f>LOOKUP('Hypothèses et Graphiques'!M$3,'Liste Taux Fécondité'!$C$1:$AR$1,'Liste Taux Fécondité'!$C7:$AR7)</f>
        <v>0</v>
      </c>
      <c r="M8" s="23">
        <f>LOOKUP('Hypothèses et Graphiques'!N$3,'Liste Taux Fécondité'!$C$1:$AR$1,'Liste Taux Fécondité'!$C7:$AR7)</f>
        <v>0</v>
      </c>
      <c r="N8" s="23">
        <f>LOOKUP('Hypothèses et Graphiques'!O$3,'Liste Taux Fécondité'!$C$1:$AR$1,'Liste Taux Fécondité'!$C7:$AR7)</f>
        <v>0</v>
      </c>
      <c r="O8" s="23">
        <f>LOOKUP('Hypothèses et Graphiques'!P$3,'Liste Taux Fécondité'!$C$1:$AR$1,'Liste Taux Fécondité'!$C7:$AR7)</f>
        <v>0</v>
      </c>
      <c r="P8" s="23">
        <f>LOOKUP('Hypothèses et Graphiques'!Q$3,'Liste Taux Fécondité'!$C$1:$AR$1,'Liste Taux Fécondité'!$C7:$AR7)</f>
        <v>0</v>
      </c>
      <c r="Q8" s="23">
        <f>LOOKUP('Hypothèses et Graphiques'!R$3,'Liste Taux Fécondité'!$C$1:$AR$1,'Liste Taux Fécondité'!$C7:$AR7)</f>
        <v>0</v>
      </c>
      <c r="R8" s="23">
        <f>LOOKUP('Hypothèses et Graphiques'!S$3,'Liste Taux Fécondité'!$C$1:$AR$1,'Liste Taux Fécondité'!$C7:$AR7)</f>
        <v>0</v>
      </c>
      <c r="S8" s="23">
        <f>LOOKUP('Hypothèses et Graphiques'!T$3,'Liste Taux Fécondité'!$C$1:$AR$1,'Liste Taux Fécondité'!$C7:$AR7)</f>
        <v>0</v>
      </c>
    </row>
    <row r="9" spans="1:19" x14ac:dyDescent="0.25">
      <c r="A9" s="5" t="s">
        <v>5</v>
      </c>
      <c r="B9" s="5" t="s">
        <v>6</v>
      </c>
      <c r="C9" s="23">
        <f>LOOKUP('Hypothèses et Graphiques'!D$3,'Liste Taux Fécondité'!$C$1:$AR$1,'Liste Taux Fécondité'!$C8:$AR8)</f>
        <v>0</v>
      </c>
      <c r="D9" s="23">
        <f>LOOKUP('Hypothèses et Graphiques'!E$3,'Liste Taux Fécondité'!$C$1:$AR$1,'Liste Taux Fécondité'!$C8:$AR8)</f>
        <v>0</v>
      </c>
      <c r="E9" s="23">
        <f>LOOKUP('Hypothèses et Graphiques'!F$3,'Liste Taux Fécondité'!$C$1:$AR$1,'Liste Taux Fécondité'!$C8:$AR8)</f>
        <v>0</v>
      </c>
      <c r="F9" s="23">
        <f>LOOKUP('Hypothèses et Graphiques'!G$3,'Liste Taux Fécondité'!$C$1:$AR$1,'Liste Taux Fécondité'!$C8:$AR8)</f>
        <v>0</v>
      </c>
      <c r="G9" s="23">
        <f>LOOKUP('Hypothèses et Graphiques'!H$3,'Liste Taux Fécondité'!$C$1:$AR$1,'Liste Taux Fécondité'!$C8:$AR8)</f>
        <v>0</v>
      </c>
      <c r="H9" s="23">
        <f>LOOKUP('Hypothèses et Graphiques'!I$3,'Liste Taux Fécondité'!$C$1:$AR$1,'Liste Taux Fécondité'!$C8:$AR8)</f>
        <v>0</v>
      </c>
      <c r="I9" s="23">
        <f>LOOKUP('Hypothèses et Graphiques'!J$3,'Liste Taux Fécondité'!$C$1:$AR$1,'Liste Taux Fécondité'!$C8:$AR8)</f>
        <v>0</v>
      </c>
      <c r="J9" s="23">
        <f>LOOKUP('Hypothèses et Graphiques'!K$3,'Liste Taux Fécondité'!$C$1:$AR$1,'Liste Taux Fécondité'!$C8:$AR8)</f>
        <v>0</v>
      </c>
      <c r="K9" s="23">
        <f>LOOKUP('Hypothèses et Graphiques'!L$3,'Liste Taux Fécondité'!$C$1:$AR$1,'Liste Taux Fécondité'!$C8:$AR8)</f>
        <v>0</v>
      </c>
      <c r="L9" s="23">
        <f>LOOKUP('Hypothèses et Graphiques'!M$3,'Liste Taux Fécondité'!$C$1:$AR$1,'Liste Taux Fécondité'!$C8:$AR8)</f>
        <v>0</v>
      </c>
      <c r="M9" s="23">
        <f>LOOKUP('Hypothèses et Graphiques'!N$3,'Liste Taux Fécondité'!$C$1:$AR$1,'Liste Taux Fécondité'!$C8:$AR8)</f>
        <v>0</v>
      </c>
      <c r="N9" s="23">
        <f>LOOKUP('Hypothèses et Graphiques'!O$3,'Liste Taux Fécondité'!$C$1:$AR$1,'Liste Taux Fécondité'!$C8:$AR8)</f>
        <v>0</v>
      </c>
      <c r="O9" s="23">
        <f>LOOKUP('Hypothèses et Graphiques'!P$3,'Liste Taux Fécondité'!$C$1:$AR$1,'Liste Taux Fécondité'!$C8:$AR8)</f>
        <v>0</v>
      </c>
      <c r="P9" s="23">
        <f>LOOKUP('Hypothèses et Graphiques'!Q$3,'Liste Taux Fécondité'!$C$1:$AR$1,'Liste Taux Fécondité'!$C8:$AR8)</f>
        <v>0</v>
      </c>
      <c r="Q9" s="23">
        <f>LOOKUP('Hypothèses et Graphiques'!R$3,'Liste Taux Fécondité'!$C$1:$AR$1,'Liste Taux Fécondité'!$C8:$AR8)</f>
        <v>0</v>
      </c>
      <c r="R9" s="23">
        <f>LOOKUP('Hypothèses et Graphiques'!S$3,'Liste Taux Fécondité'!$C$1:$AR$1,'Liste Taux Fécondité'!$C8:$AR8)</f>
        <v>0</v>
      </c>
      <c r="S9" s="23">
        <f>LOOKUP('Hypothèses et Graphiques'!T$3,'Liste Taux Fécondité'!$C$1:$AR$1,'Liste Taux Fécondité'!$C8:$AR8)</f>
        <v>0</v>
      </c>
    </row>
    <row r="10" spans="1:19" ht="14.4" thickBot="1" x14ac:dyDescent="0.3">
      <c r="A10" s="6" t="s">
        <v>6</v>
      </c>
      <c r="B10" s="21" t="s">
        <v>10</v>
      </c>
      <c r="C10" s="23">
        <f>LOOKUP('Hypothèses et Graphiques'!D$3,'Liste Taux Fécondité'!$C$1:$AR$1,'Liste Taux Fécondité'!$C9:$AR9)</f>
        <v>0</v>
      </c>
      <c r="D10" s="23">
        <f>LOOKUP('Hypothèses et Graphiques'!E$3,'Liste Taux Fécondité'!$C$1:$AR$1,'Liste Taux Fécondité'!$C9:$AR9)</f>
        <v>0</v>
      </c>
      <c r="E10" s="23">
        <f>LOOKUP('Hypothèses et Graphiques'!F$3,'Liste Taux Fécondité'!$C$1:$AR$1,'Liste Taux Fécondité'!$C9:$AR9)</f>
        <v>0</v>
      </c>
      <c r="F10" s="23">
        <f>LOOKUP('Hypothèses et Graphiques'!G$3,'Liste Taux Fécondité'!$C$1:$AR$1,'Liste Taux Fécondité'!$C9:$AR9)</f>
        <v>0</v>
      </c>
      <c r="G10" s="23">
        <f>LOOKUP('Hypothèses et Graphiques'!H$3,'Liste Taux Fécondité'!$C$1:$AR$1,'Liste Taux Fécondité'!$C9:$AR9)</f>
        <v>0</v>
      </c>
      <c r="H10" s="23">
        <f>LOOKUP('Hypothèses et Graphiques'!I$3,'Liste Taux Fécondité'!$C$1:$AR$1,'Liste Taux Fécondité'!$C9:$AR9)</f>
        <v>0</v>
      </c>
      <c r="I10" s="23">
        <f>LOOKUP('Hypothèses et Graphiques'!J$3,'Liste Taux Fécondité'!$C$1:$AR$1,'Liste Taux Fécondité'!$C9:$AR9)</f>
        <v>0</v>
      </c>
      <c r="J10" s="23">
        <f>LOOKUP('Hypothèses et Graphiques'!K$3,'Liste Taux Fécondité'!$C$1:$AR$1,'Liste Taux Fécondité'!$C9:$AR9)</f>
        <v>0</v>
      </c>
      <c r="K10" s="23">
        <f>LOOKUP('Hypothèses et Graphiques'!L$3,'Liste Taux Fécondité'!$C$1:$AR$1,'Liste Taux Fécondité'!$C9:$AR9)</f>
        <v>0</v>
      </c>
      <c r="L10" s="23">
        <f>LOOKUP('Hypothèses et Graphiques'!M$3,'Liste Taux Fécondité'!$C$1:$AR$1,'Liste Taux Fécondité'!$C9:$AR9)</f>
        <v>0</v>
      </c>
      <c r="M10" s="23">
        <f>LOOKUP('Hypothèses et Graphiques'!N$3,'Liste Taux Fécondité'!$C$1:$AR$1,'Liste Taux Fécondité'!$C9:$AR9)</f>
        <v>0</v>
      </c>
      <c r="N10" s="23">
        <f>LOOKUP('Hypothèses et Graphiques'!O$3,'Liste Taux Fécondité'!$C$1:$AR$1,'Liste Taux Fécondité'!$C9:$AR9)</f>
        <v>0</v>
      </c>
      <c r="O10" s="23">
        <f>LOOKUP('Hypothèses et Graphiques'!P$3,'Liste Taux Fécondité'!$C$1:$AR$1,'Liste Taux Fécondité'!$C9:$AR9)</f>
        <v>0</v>
      </c>
      <c r="P10" s="23">
        <f>LOOKUP('Hypothèses et Graphiques'!Q$3,'Liste Taux Fécondité'!$C$1:$AR$1,'Liste Taux Fécondité'!$C9:$AR9)</f>
        <v>0</v>
      </c>
      <c r="Q10" s="23">
        <f>LOOKUP('Hypothèses et Graphiques'!R$3,'Liste Taux Fécondité'!$C$1:$AR$1,'Liste Taux Fécondité'!$C9:$AR9)</f>
        <v>0</v>
      </c>
      <c r="R10" s="23">
        <f>LOOKUP('Hypothèses et Graphiques'!S$3,'Liste Taux Fécondité'!$C$1:$AR$1,'Liste Taux Fécondité'!$C9:$AR9)</f>
        <v>0</v>
      </c>
      <c r="S10" s="23">
        <f>LOOKUP('Hypothèses et Graphiques'!T$3,'Liste Taux Fécondité'!$C$1:$AR$1,'Liste Taux Fécondité'!$C9:$AR9)</f>
        <v>0</v>
      </c>
    </row>
    <row r="12" spans="1:19" ht="14.4" thickBot="1" x14ac:dyDescent="0.3">
      <c r="B12" t="s">
        <v>49</v>
      </c>
    </row>
    <row r="13" spans="1:19" x14ac:dyDescent="0.25">
      <c r="A13" s="10" t="s">
        <v>9</v>
      </c>
      <c r="B13" s="10" t="s">
        <v>0</v>
      </c>
      <c r="C13" s="14" t="str">
        <f>IF('Mode d''emploi'!$F$6&gt;=Population!D$25,C3*((Population!C28+Population!D29)/2),"-")</f>
        <v>-</v>
      </c>
      <c r="D13" s="14" t="str">
        <f>IF('Mode d''emploi'!$F$6&gt;=Population!E$25,D3*((Population!D28+Population!E29)/2),"-")</f>
        <v>-</v>
      </c>
      <c r="E13" s="14" t="str">
        <f>IF('Mode d''emploi'!$F$6&gt;=Population!F$25,E3*((Population!E28+Population!F29)/2),"-")</f>
        <v>-</v>
      </c>
      <c r="F13" s="14" t="str">
        <f>IF('Mode d''emploi'!$F$6&gt;=Population!G$25,F3*((Population!F28+Population!G29)/2),"-")</f>
        <v>-</v>
      </c>
      <c r="G13" s="14" t="str">
        <f>IF('Mode d''emploi'!$F$6&gt;=Population!H$25,G3*((Population!G28+Population!H29)/2),"-")</f>
        <v>-</v>
      </c>
      <c r="H13" s="14" t="str">
        <f>IF('Mode d''emploi'!$F$6&gt;=Population!I$25,H3*((Population!H28+Population!I29)/2),"-")</f>
        <v>-</v>
      </c>
      <c r="I13" s="14" t="str">
        <f>IF('Mode d''emploi'!$F$6&gt;=Population!J$25,I3*((Population!I28+Population!J29)/2),"-")</f>
        <v>-</v>
      </c>
      <c r="J13" s="14" t="str">
        <f>IF('Mode d''emploi'!$F$6&gt;=Population!K$25,J3*((Population!J28+Population!K29)/2),"-")</f>
        <v>-</v>
      </c>
      <c r="K13" s="14" t="str">
        <f>IF('Mode d''emploi'!$F$6&gt;=Population!L$25,K3*((Population!K28+Population!L29)/2),"-")</f>
        <v>-</v>
      </c>
      <c r="L13" s="14" t="str">
        <f>IF('Mode d''emploi'!$F$6&gt;=Population!M$25,L3*((Population!L28+Population!M29)/2),"-")</f>
        <v>-</v>
      </c>
      <c r="M13" s="14" t="str">
        <f>IF('Mode d''emploi'!$F$6&gt;=Population!N$25,M3*((Population!M28+Population!N29)/2),"-")</f>
        <v>-</v>
      </c>
      <c r="N13" s="14" t="str">
        <f>IF('Mode d''emploi'!$F$6&gt;=Population!O$25,N3*((Population!N28+Population!O29)/2),"-")</f>
        <v>-</v>
      </c>
      <c r="O13" s="14" t="str">
        <f>IF('Mode d''emploi'!$F$6&gt;=Population!P$25,O3*((Population!O28+Population!P29)/2),"-")</f>
        <v>-</v>
      </c>
      <c r="P13" s="14" t="str">
        <f>IF('Mode d''emploi'!$F$6&gt;=Population!Q$25,P3*((Population!P28+Population!Q29)/2),"-")</f>
        <v>-</v>
      </c>
      <c r="Q13" s="14" t="str">
        <f>IF('Mode d''emploi'!$F$6&gt;=Population!R$25,Q3*((Population!Q28+Population!R29)/2),"-")</f>
        <v>-</v>
      </c>
      <c r="R13" s="14" t="str">
        <f>IF('Mode d''emploi'!$F$6&gt;=Population!S$25,R3*((Population!R28+Population!S29)/2),"-")</f>
        <v>-</v>
      </c>
      <c r="S13" s="14" t="str">
        <f>IF('Mode d''emploi'!$F$6&gt;=Population!T$25,S3*((Population!S28+Population!T29)/2),"-")</f>
        <v>-</v>
      </c>
    </row>
    <row r="14" spans="1:19" x14ac:dyDescent="0.25">
      <c r="A14" s="5" t="s">
        <v>0</v>
      </c>
      <c r="B14" s="5" t="s">
        <v>1</v>
      </c>
      <c r="C14" s="14" t="str">
        <f>IF('Mode d''emploi'!$F$6&gt;=Population!D$25,C4*((Population!C29+Population!D30)/2),"-")</f>
        <v>-</v>
      </c>
      <c r="D14" s="14" t="str">
        <f>IF('Mode d''emploi'!$F$6&gt;=Population!E$25,D4*((Population!D29+Population!E30)/2),"-")</f>
        <v>-</v>
      </c>
      <c r="E14" s="14" t="str">
        <f>IF('Mode d''emploi'!$F$6&gt;=Population!F$25,E4*((Population!E29+Population!F30)/2),"-")</f>
        <v>-</v>
      </c>
      <c r="F14" s="14" t="str">
        <f>IF('Mode d''emploi'!$F$6&gt;=Population!G$25,F4*((Population!F29+Population!G30)/2),"-")</f>
        <v>-</v>
      </c>
      <c r="G14" s="14" t="str">
        <f>IF('Mode d''emploi'!$F$6&gt;=Population!H$25,G4*((Population!G29+Population!H30)/2),"-")</f>
        <v>-</v>
      </c>
      <c r="H14" s="14" t="str">
        <f>IF('Mode d''emploi'!$F$6&gt;=Population!I$25,H4*((Population!H29+Population!I30)/2),"-")</f>
        <v>-</v>
      </c>
      <c r="I14" s="14" t="str">
        <f>IF('Mode d''emploi'!$F$6&gt;=Population!J$25,I4*((Population!I29+Population!J30)/2),"-")</f>
        <v>-</v>
      </c>
      <c r="J14" s="14" t="str">
        <f>IF('Mode d''emploi'!$F$6&gt;=Population!K$25,J4*((Population!J29+Population!K30)/2),"-")</f>
        <v>-</v>
      </c>
      <c r="K14" s="14" t="str">
        <f>IF('Mode d''emploi'!$F$6&gt;=Population!L$25,K4*((Population!K29+Population!L30)/2),"-")</f>
        <v>-</v>
      </c>
      <c r="L14" s="14" t="str">
        <f>IF('Mode d''emploi'!$F$6&gt;=Population!M$25,L4*((Population!L29+Population!M30)/2),"-")</f>
        <v>-</v>
      </c>
      <c r="M14" s="14" t="str">
        <f>IF('Mode d''emploi'!$F$6&gt;=Population!N$25,M4*((Population!M29+Population!N30)/2),"-")</f>
        <v>-</v>
      </c>
      <c r="N14" s="14" t="str">
        <f>IF('Mode d''emploi'!$F$6&gt;=Population!O$25,N4*((Population!N29+Population!O30)/2),"-")</f>
        <v>-</v>
      </c>
      <c r="O14" s="14" t="str">
        <f>IF('Mode d''emploi'!$F$6&gt;=Population!P$25,O4*((Population!O29+Population!P30)/2),"-")</f>
        <v>-</v>
      </c>
      <c r="P14" s="14" t="str">
        <f>IF('Mode d''emploi'!$F$6&gt;=Population!Q$25,P4*((Population!P29+Population!Q30)/2),"-")</f>
        <v>-</v>
      </c>
      <c r="Q14" s="14" t="str">
        <f>IF('Mode d''emploi'!$F$6&gt;=Population!R$25,Q4*((Population!Q29+Population!R30)/2),"-")</f>
        <v>-</v>
      </c>
      <c r="R14" s="14" t="str">
        <f>IF('Mode d''emploi'!$F$6&gt;=Population!S$25,R4*((Population!R29+Population!S30)/2),"-")</f>
        <v>-</v>
      </c>
      <c r="S14" s="14" t="str">
        <f>IF('Mode d''emploi'!$F$6&gt;=Population!T$25,S4*((Population!S29+Population!T30)/2),"-")</f>
        <v>-</v>
      </c>
    </row>
    <row r="15" spans="1:19" x14ac:dyDescent="0.25">
      <c r="A15" s="5" t="s">
        <v>1</v>
      </c>
      <c r="B15" s="5" t="s">
        <v>2</v>
      </c>
      <c r="C15" s="14" t="str">
        <f>IF('Mode d''emploi'!$F$6&gt;=Population!D$25,C5*((Population!C30+Population!D31)/2),"-")</f>
        <v>-</v>
      </c>
      <c r="D15" s="14" t="str">
        <f>IF('Mode d''emploi'!$F$6&gt;=Population!E$25,D5*((Population!D30+Population!E31)/2),"-")</f>
        <v>-</v>
      </c>
      <c r="E15" s="14" t="str">
        <f>IF('Mode d''emploi'!$F$6&gt;=Population!F$25,E5*((Population!E30+Population!F31)/2),"-")</f>
        <v>-</v>
      </c>
      <c r="F15" s="14" t="str">
        <f>IF('Mode d''emploi'!$F$6&gt;=Population!G$25,F5*((Population!F30+Population!G31)/2),"-")</f>
        <v>-</v>
      </c>
      <c r="G15" s="14" t="str">
        <f>IF('Mode d''emploi'!$F$6&gt;=Population!H$25,G5*((Population!G30+Population!H31)/2),"-")</f>
        <v>-</v>
      </c>
      <c r="H15" s="14" t="str">
        <f>IF('Mode d''emploi'!$F$6&gt;=Population!I$25,H5*((Population!H30+Population!I31)/2),"-")</f>
        <v>-</v>
      </c>
      <c r="I15" s="14" t="str">
        <f>IF('Mode d''emploi'!$F$6&gt;=Population!J$25,I5*((Population!I30+Population!J31)/2),"-")</f>
        <v>-</v>
      </c>
      <c r="J15" s="14" t="str">
        <f>IF('Mode d''emploi'!$F$6&gt;=Population!K$25,J5*((Population!J30+Population!K31)/2),"-")</f>
        <v>-</v>
      </c>
      <c r="K15" s="14" t="str">
        <f>IF('Mode d''emploi'!$F$6&gt;=Population!L$25,K5*((Population!K30+Population!L31)/2),"-")</f>
        <v>-</v>
      </c>
      <c r="L15" s="14" t="str">
        <f>IF('Mode d''emploi'!$F$6&gt;=Population!M$25,L5*((Population!L30+Population!M31)/2),"-")</f>
        <v>-</v>
      </c>
      <c r="M15" s="14" t="str">
        <f>IF('Mode d''emploi'!$F$6&gt;=Population!N$25,M5*((Population!M30+Population!N31)/2),"-")</f>
        <v>-</v>
      </c>
      <c r="N15" s="14" t="str">
        <f>IF('Mode d''emploi'!$F$6&gt;=Population!O$25,N5*((Population!N30+Population!O31)/2),"-")</f>
        <v>-</v>
      </c>
      <c r="O15" s="14" t="str">
        <f>IF('Mode d''emploi'!$F$6&gt;=Population!P$25,O5*((Population!O30+Population!P31)/2),"-")</f>
        <v>-</v>
      </c>
      <c r="P15" s="14" t="str">
        <f>IF('Mode d''emploi'!$F$6&gt;=Population!Q$25,P5*((Population!P30+Population!Q31)/2),"-")</f>
        <v>-</v>
      </c>
      <c r="Q15" s="14" t="str">
        <f>IF('Mode d''emploi'!$F$6&gt;=Population!R$25,Q5*((Population!Q30+Population!R31)/2),"-")</f>
        <v>-</v>
      </c>
      <c r="R15" s="14" t="str">
        <f>IF('Mode d''emploi'!$F$6&gt;=Population!S$25,R5*((Population!R30+Population!S31)/2),"-")</f>
        <v>-</v>
      </c>
      <c r="S15" s="14" t="str">
        <f>IF('Mode d''emploi'!$F$6&gt;=Population!T$25,S5*((Population!S30+Population!T31)/2),"-")</f>
        <v>-</v>
      </c>
    </row>
    <row r="16" spans="1:19" x14ac:dyDescent="0.25">
      <c r="A16" s="5" t="s">
        <v>2</v>
      </c>
      <c r="B16" s="5" t="s">
        <v>3</v>
      </c>
      <c r="C16" s="14" t="str">
        <f>IF('Mode d''emploi'!$F$6&gt;=Population!D$25,C6*((Population!C31+Population!D32)/2),"-")</f>
        <v>-</v>
      </c>
      <c r="D16" s="14" t="str">
        <f>IF('Mode d''emploi'!$F$6&gt;=Population!E$25,D6*((Population!D31+Population!E32)/2),"-")</f>
        <v>-</v>
      </c>
      <c r="E16" s="14" t="str">
        <f>IF('Mode d''emploi'!$F$6&gt;=Population!F$25,E6*((Population!E31+Population!F32)/2),"-")</f>
        <v>-</v>
      </c>
      <c r="F16" s="14" t="str">
        <f>IF('Mode d''emploi'!$F$6&gt;=Population!G$25,F6*((Population!F31+Population!G32)/2),"-")</f>
        <v>-</v>
      </c>
      <c r="G16" s="14" t="str">
        <f>IF('Mode d''emploi'!$F$6&gt;=Population!H$25,G6*((Population!G31+Population!H32)/2),"-")</f>
        <v>-</v>
      </c>
      <c r="H16" s="14" t="str">
        <f>IF('Mode d''emploi'!$F$6&gt;=Population!I$25,H6*((Population!H31+Population!I32)/2),"-")</f>
        <v>-</v>
      </c>
      <c r="I16" s="14" t="str">
        <f>IF('Mode d''emploi'!$F$6&gt;=Population!J$25,I6*((Population!I31+Population!J32)/2),"-")</f>
        <v>-</v>
      </c>
      <c r="J16" s="14" t="str">
        <f>IF('Mode d''emploi'!$F$6&gt;=Population!K$25,J6*((Population!J31+Population!K32)/2),"-")</f>
        <v>-</v>
      </c>
      <c r="K16" s="14" t="str">
        <f>IF('Mode d''emploi'!$F$6&gt;=Population!L$25,K6*((Population!K31+Population!L32)/2),"-")</f>
        <v>-</v>
      </c>
      <c r="L16" s="14" t="str">
        <f>IF('Mode d''emploi'!$F$6&gt;=Population!M$25,L6*((Population!L31+Population!M32)/2),"-")</f>
        <v>-</v>
      </c>
      <c r="M16" s="14" t="str">
        <f>IF('Mode d''emploi'!$F$6&gt;=Population!N$25,M6*((Population!M31+Population!N32)/2),"-")</f>
        <v>-</v>
      </c>
      <c r="N16" s="14" t="str">
        <f>IF('Mode d''emploi'!$F$6&gt;=Population!O$25,N6*((Population!N31+Population!O32)/2),"-")</f>
        <v>-</v>
      </c>
      <c r="O16" s="14" t="str">
        <f>IF('Mode d''emploi'!$F$6&gt;=Population!P$25,O6*((Population!O31+Population!P32)/2),"-")</f>
        <v>-</v>
      </c>
      <c r="P16" s="14" t="str">
        <f>IF('Mode d''emploi'!$F$6&gt;=Population!Q$25,P6*((Population!P31+Population!Q32)/2),"-")</f>
        <v>-</v>
      </c>
      <c r="Q16" s="14" t="str">
        <f>IF('Mode d''emploi'!$F$6&gt;=Population!R$25,Q6*((Population!Q31+Population!R32)/2),"-")</f>
        <v>-</v>
      </c>
      <c r="R16" s="14" t="str">
        <f>IF('Mode d''emploi'!$F$6&gt;=Population!S$25,R6*((Population!R31+Population!S32)/2),"-")</f>
        <v>-</v>
      </c>
      <c r="S16" s="14" t="str">
        <f>IF('Mode d''emploi'!$F$6&gt;=Population!T$25,S6*((Population!S31+Population!T32)/2),"-")</f>
        <v>-</v>
      </c>
    </row>
    <row r="17" spans="1:19" x14ac:dyDescent="0.25">
      <c r="A17" s="5" t="s">
        <v>3</v>
      </c>
      <c r="B17" s="5" t="s">
        <v>4</v>
      </c>
      <c r="C17" s="14" t="str">
        <f>IF('Mode d''emploi'!$F$6&gt;=Population!D$25,C7*((Population!C32+Population!D33)/2),"-")</f>
        <v>-</v>
      </c>
      <c r="D17" s="14" t="str">
        <f>IF('Mode d''emploi'!$F$6&gt;=Population!E$25,D7*((Population!D32+Population!E33)/2),"-")</f>
        <v>-</v>
      </c>
      <c r="E17" s="14" t="str">
        <f>IF('Mode d''emploi'!$F$6&gt;=Population!F$25,E7*((Population!E32+Population!F33)/2),"-")</f>
        <v>-</v>
      </c>
      <c r="F17" s="14" t="str">
        <f>IF('Mode d''emploi'!$F$6&gt;=Population!G$25,F7*((Population!F32+Population!G33)/2),"-")</f>
        <v>-</v>
      </c>
      <c r="G17" s="14" t="str">
        <f>IF('Mode d''emploi'!$F$6&gt;=Population!H$25,G7*((Population!G32+Population!H33)/2),"-")</f>
        <v>-</v>
      </c>
      <c r="H17" s="14" t="str">
        <f>IF('Mode d''emploi'!$F$6&gt;=Population!I$25,H7*((Population!H32+Population!I33)/2),"-")</f>
        <v>-</v>
      </c>
      <c r="I17" s="14" t="str">
        <f>IF('Mode d''emploi'!$F$6&gt;=Population!J$25,I7*((Population!I32+Population!J33)/2),"-")</f>
        <v>-</v>
      </c>
      <c r="J17" s="14" t="str">
        <f>IF('Mode d''emploi'!$F$6&gt;=Population!K$25,J7*((Population!J32+Population!K33)/2),"-")</f>
        <v>-</v>
      </c>
      <c r="K17" s="14" t="str">
        <f>IF('Mode d''emploi'!$F$6&gt;=Population!L$25,K7*((Population!K32+Population!L33)/2),"-")</f>
        <v>-</v>
      </c>
      <c r="L17" s="14" t="str">
        <f>IF('Mode d''emploi'!$F$6&gt;=Population!M$25,L7*((Population!L32+Population!M33)/2),"-")</f>
        <v>-</v>
      </c>
      <c r="M17" s="14" t="str">
        <f>IF('Mode d''emploi'!$F$6&gt;=Population!N$25,M7*((Population!M32+Population!N33)/2),"-")</f>
        <v>-</v>
      </c>
      <c r="N17" s="14" t="str">
        <f>IF('Mode d''emploi'!$F$6&gt;=Population!O$25,N7*((Population!N32+Population!O33)/2),"-")</f>
        <v>-</v>
      </c>
      <c r="O17" s="14" t="str">
        <f>IF('Mode d''emploi'!$F$6&gt;=Population!P$25,O7*((Population!O32+Population!P33)/2),"-")</f>
        <v>-</v>
      </c>
      <c r="P17" s="14" t="str">
        <f>IF('Mode d''emploi'!$F$6&gt;=Population!Q$25,P7*((Population!P32+Population!Q33)/2),"-")</f>
        <v>-</v>
      </c>
      <c r="Q17" s="14" t="str">
        <f>IF('Mode d''emploi'!$F$6&gt;=Population!R$25,Q7*((Population!Q32+Population!R33)/2),"-")</f>
        <v>-</v>
      </c>
      <c r="R17" s="14" t="str">
        <f>IF('Mode d''emploi'!$F$6&gt;=Population!S$25,R7*((Population!R32+Population!S33)/2),"-")</f>
        <v>-</v>
      </c>
      <c r="S17" s="14" t="str">
        <f>IF('Mode d''emploi'!$F$6&gt;=Population!T$25,S7*((Population!S32+Population!T33)/2),"-")</f>
        <v>-</v>
      </c>
    </row>
    <row r="18" spans="1:19" x14ac:dyDescent="0.25">
      <c r="A18" s="5" t="s">
        <v>4</v>
      </c>
      <c r="B18" s="5" t="s">
        <v>5</v>
      </c>
      <c r="C18" s="14" t="str">
        <f>IF('Mode d''emploi'!$F$6&gt;=Population!D$25,C8*((Population!C33+Population!D34)/2),"-")</f>
        <v>-</v>
      </c>
      <c r="D18" s="14" t="str">
        <f>IF('Mode d''emploi'!$F$6&gt;=Population!E$25,D8*((Population!D33+Population!E34)/2),"-")</f>
        <v>-</v>
      </c>
      <c r="E18" s="14" t="str">
        <f>IF('Mode d''emploi'!$F$6&gt;=Population!F$25,E8*((Population!E33+Population!F34)/2),"-")</f>
        <v>-</v>
      </c>
      <c r="F18" s="14" t="str">
        <f>IF('Mode d''emploi'!$F$6&gt;=Population!G$25,F8*((Population!F33+Population!G34)/2),"-")</f>
        <v>-</v>
      </c>
      <c r="G18" s="14" t="str">
        <f>IF('Mode d''emploi'!$F$6&gt;=Population!H$25,G8*((Population!G33+Population!H34)/2),"-")</f>
        <v>-</v>
      </c>
      <c r="H18" s="14" t="str">
        <f>IF('Mode d''emploi'!$F$6&gt;=Population!I$25,H8*((Population!H33+Population!I34)/2),"-")</f>
        <v>-</v>
      </c>
      <c r="I18" s="14" t="str">
        <f>IF('Mode d''emploi'!$F$6&gt;=Population!J$25,I8*((Population!I33+Population!J34)/2),"-")</f>
        <v>-</v>
      </c>
      <c r="J18" s="14" t="str">
        <f>IF('Mode d''emploi'!$F$6&gt;=Population!K$25,J8*((Population!J33+Population!K34)/2),"-")</f>
        <v>-</v>
      </c>
      <c r="K18" s="14" t="str">
        <f>IF('Mode d''emploi'!$F$6&gt;=Population!L$25,K8*((Population!K33+Population!L34)/2),"-")</f>
        <v>-</v>
      </c>
      <c r="L18" s="14" t="str">
        <f>IF('Mode d''emploi'!$F$6&gt;=Population!M$25,L8*((Population!L33+Population!M34)/2),"-")</f>
        <v>-</v>
      </c>
      <c r="M18" s="14" t="str">
        <f>IF('Mode d''emploi'!$F$6&gt;=Population!N$25,M8*((Population!M33+Population!N34)/2),"-")</f>
        <v>-</v>
      </c>
      <c r="N18" s="14" t="str">
        <f>IF('Mode d''emploi'!$F$6&gt;=Population!O$25,N8*((Population!N33+Population!O34)/2),"-")</f>
        <v>-</v>
      </c>
      <c r="O18" s="14" t="str">
        <f>IF('Mode d''emploi'!$F$6&gt;=Population!P$25,O8*((Population!O33+Population!P34)/2),"-")</f>
        <v>-</v>
      </c>
      <c r="P18" s="14" t="str">
        <f>IF('Mode d''emploi'!$F$6&gt;=Population!Q$25,P8*((Population!P33+Population!Q34)/2),"-")</f>
        <v>-</v>
      </c>
      <c r="Q18" s="14" t="str">
        <f>IF('Mode d''emploi'!$F$6&gt;=Population!R$25,Q8*((Population!Q33+Population!R34)/2),"-")</f>
        <v>-</v>
      </c>
      <c r="R18" s="14" t="str">
        <f>IF('Mode d''emploi'!$F$6&gt;=Population!S$25,R8*((Population!R33+Population!S34)/2),"-")</f>
        <v>-</v>
      </c>
      <c r="S18" s="14" t="str">
        <f>IF('Mode d''emploi'!$F$6&gt;=Population!T$25,S8*((Population!S33+Population!T34)/2),"-")</f>
        <v>-</v>
      </c>
    </row>
    <row r="19" spans="1:19" x14ac:dyDescent="0.25">
      <c r="A19" s="5" t="s">
        <v>5</v>
      </c>
      <c r="B19" s="5" t="s">
        <v>6</v>
      </c>
      <c r="C19" s="14" t="str">
        <f>IF('Mode d''emploi'!$F$6&gt;=Population!D$25,C9*((Population!C34+Population!D35)/2),"-")</f>
        <v>-</v>
      </c>
      <c r="D19" s="14" t="str">
        <f>IF('Mode d''emploi'!$F$6&gt;=Population!E$25,D9*((Population!D34+Population!E35)/2),"-")</f>
        <v>-</v>
      </c>
      <c r="E19" s="14" t="str">
        <f>IF('Mode d''emploi'!$F$6&gt;=Population!F$25,E9*((Population!E34+Population!F35)/2),"-")</f>
        <v>-</v>
      </c>
      <c r="F19" s="14" t="str">
        <f>IF('Mode d''emploi'!$F$6&gt;=Population!G$25,F9*((Population!F34+Population!G35)/2),"-")</f>
        <v>-</v>
      </c>
      <c r="G19" s="14" t="str">
        <f>IF('Mode d''emploi'!$F$6&gt;=Population!H$25,G9*((Population!G34+Population!H35)/2),"-")</f>
        <v>-</v>
      </c>
      <c r="H19" s="14" t="str">
        <f>IF('Mode d''emploi'!$F$6&gt;=Population!I$25,H9*((Population!H34+Population!I35)/2),"-")</f>
        <v>-</v>
      </c>
      <c r="I19" s="14" t="str">
        <f>IF('Mode d''emploi'!$F$6&gt;=Population!J$25,I9*((Population!I34+Population!J35)/2),"-")</f>
        <v>-</v>
      </c>
      <c r="J19" s="14" t="str">
        <f>IF('Mode d''emploi'!$F$6&gt;=Population!K$25,J9*((Population!J34+Population!K35)/2),"-")</f>
        <v>-</v>
      </c>
      <c r="K19" s="14" t="str">
        <f>IF('Mode d''emploi'!$F$6&gt;=Population!L$25,K9*((Population!K34+Population!L35)/2),"-")</f>
        <v>-</v>
      </c>
      <c r="L19" s="14" t="str">
        <f>IF('Mode d''emploi'!$F$6&gt;=Population!M$25,L9*((Population!L34+Population!M35)/2),"-")</f>
        <v>-</v>
      </c>
      <c r="M19" s="14" t="str">
        <f>IF('Mode d''emploi'!$F$6&gt;=Population!N$25,M9*((Population!M34+Population!N35)/2),"-")</f>
        <v>-</v>
      </c>
      <c r="N19" s="14" t="str">
        <f>IF('Mode d''emploi'!$F$6&gt;=Population!O$25,N9*((Population!N34+Population!O35)/2),"-")</f>
        <v>-</v>
      </c>
      <c r="O19" s="14" t="str">
        <f>IF('Mode d''emploi'!$F$6&gt;=Population!P$25,O9*((Population!O34+Population!P35)/2),"-")</f>
        <v>-</v>
      </c>
      <c r="P19" s="14" t="str">
        <f>IF('Mode d''emploi'!$F$6&gt;=Population!Q$25,P9*((Population!P34+Population!Q35)/2),"-")</f>
        <v>-</v>
      </c>
      <c r="Q19" s="14" t="str">
        <f>IF('Mode d''emploi'!$F$6&gt;=Population!R$25,Q9*((Population!Q34+Population!R35)/2),"-")</f>
        <v>-</v>
      </c>
      <c r="R19" s="14" t="str">
        <f>IF('Mode d''emploi'!$F$6&gt;=Population!S$25,R9*((Population!R34+Population!S35)/2),"-")</f>
        <v>-</v>
      </c>
      <c r="S19" s="14" t="str">
        <f>IF('Mode d''emploi'!$F$6&gt;=Population!T$25,S9*((Population!S34+Population!T35)/2),"-")</f>
        <v>-</v>
      </c>
    </row>
    <row r="20" spans="1:19" ht="14.4" thickBot="1" x14ac:dyDescent="0.3">
      <c r="A20" s="6" t="s">
        <v>6</v>
      </c>
      <c r="B20" s="21" t="s">
        <v>10</v>
      </c>
      <c r="C20" s="14" t="str">
        <f>IF('Mode d''emploi'!$F$6&gt;=Population!D$25,C10*((Population!C35+Population!D36)/2),"-")</f>
        <v>-</v>
      </c>
      <c r="D20" s="14" t="str">
        <f>IF('Mode d''emploi'!$F$6&gt;=Population!E$25,D10*((Population!D35+Population!E36)/2),"-")</f>
        <v>-</v>
      </c>
      <c r="E20" s="14" t="str">
        <f>IF('Mode d''emploi'!$F$6&gt;=Population!F$25,E10*((Population!E35+Population!F36)/2),"-")</f>
        <v>-</v>
      </c>
      <c r="F20" s="14" t="str">
        <f>IF('Mode d''emploi'!$F$6&gt;=Population!G$25,F10*((Population!F35+Population!G36)/2),"-")</f>
        <v>-</v>
      </c>
      <c r="G20" s="14" t="str">
        <f>IF('Mode d''emploi'!$F$6&gt;=Population!H$25,G10*((Population!G35+Population!H36)/2),"-")</f>
        <v>-</v>
      </c>
      <c r="H20" s="14" t="str">
        <f>IF('Mode d''emploi'!$F$6&gt;=Population!I$25,H10*((Population!H35+Population!I36)/2),"-")</f>
        <v>-</v>
      </c>
      <c r="I20" s="14" t="str">
        <f>IF('Mode d''emploi'!$F$6&gt;=Population!J$25,I10*((Population!I35+Population!J36)/2),"-")</f>
        <v>-</v>
      </c>
      <c r="J20" s="14" t="str">
        <f>IF('Mode d''emploi'!$F$6&gt;=Population!K$25,J10*((Population!J35+Population!K36)/2),"-")</f>
        <v>-</v>
      </c>
      <c r="K20" s="14" t="str">
        <f>IF('Mode d''emploi'!$F$6&gt;=Population!L$25,K10*((Population!K35+Population!L36)/2),"-")</f>
        <v>-</v>
      </c>
      <c r="L20" s="14" t="str">
        <f>IF('Mode d''emploi'!$F$6&gt;=Population!M$25,L10*((Population!L35+Population!M36)/2),"-")</f>
        <v>-</v>
      </c>
      <c r="M20" s="14" t="str">
        <f>IF('Mode d''emploi'!$F$6&gt;=Population!N$25,M10*((Population!M35+Population!N36)/2),"-")</f>
        <v>-</v>
      </c>
      <c r="N20" s="14" t="str">
        <f>IF('Mode d''emploi'!$F$6&gt;=Population!O$25,N10*((Population!N35+Population!O36)/2),"-")</f>
        <v>-</v>
      </c>
      <c r="O20" s="14" t="str">
        <f>IF('Mode d''emploi'!$F$6&gt;=Population!P$25,O10*((Population!O35+Population!P36)/2),"-")</f>
        <v>-</v>
      </c>
      <c r="P20" s="14" t="str">
        <f>IF('Mode d''emploi'!$F$6&gt;=Population!Q$25,P10*((Population!P35+Population!Q36)/2),"-")</f>
        <v>-</v>
      </c>
      <c r="Q20" s="14" t="str">
        <f>IF('Mode d''emploi'!$F$6&gt;=Population!R$25,Q10*((Population!Q35+Population!R36)/2),"-")</f>
        <v>-</v>
      </c>
      <c r="R20" s="14" t="str">
        <f>IF('Mode d''emploi'!$F$6&gt;=Population!S$25,R10*((Population!R35+Population!S36)/2),"-")</f>
        <v>-</v>
      </c>
      <c r="S20" s="14" t="str">
        <f>IF('Mode d''emploi'!$F$6&gt;=Population!T$25,S10*((Population!S35+Population!T36)/2),"-")</f>
        <v>-</v>
      </c>
    </row>
    <row r="21" spans="1:19" x14ac:dyDescent="0.25"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</row>
    <row r="22" spans="1:19" x14ac:dyDescent="0.25">
      <c r="B22" t="s">
        <v>46</v>
      </c>
      <c r="C22" s="14">
        <f>SUM(C13:C20)</f>
        <v>0</v>
      </c>
      <c r="D22" s="14">
        <f t="shared" ref="D22:S22" si="0">SUM(D13:D20)</f>
        <v>0</v>
      </c>
      <c r="E22" s="14">
        <f t="shared" si="0"/>
        <v>0</v>
      </c>
      <c r="F22" s="14">
        <f t="shared" si="0"/>
        <v>0</v>
      </c>
      <c r="G22" s="14">
        <f t="shared" si="0"/>
        <v>0</v>
      </c>
      <c r="H22" s="14">
        <f t="shared" si="0"/>
        <v>0</v>
      </c>
      <c r="I22" s="14">
        <f t="shared" si="0"/>
        <v>0</v>
      </c>
      <c r="J22" s="14">
        <f t="shared" si="0"/>
        <v>0</v>
      </c>
      <c r="K22" s="14">
        <f t="shared" si="0"/>
        <v>0</v>
      </c>
      <c r="L22" s="14">
        <f t="shared" si="0"/>
        <v>0</v>
      </c>
      <c r="M22" s="14">
        <f t="shared" si="0"/>
        <v>0</v>
      </c>
      <c r="N22" s="14">
        <f t="shared" si="0"/>
        <v>0</v>
      </c>
      <c r="O22" s="14">
        <f t="shared" si="0"/>
        <v>0</v>
      </c>
      <c r="P22" s="14">
        <f t="shared" si="0"/>
        <v>0</v>
      </c>
      <c r="Q22" s="14">
        <f t="shared" si="0"/>
        <v>0</v>
      </c>
      <c r="R22" s="14">
        <f t="shared" si="0"/>
        <v>0</v>
      </c>
      <c r="S22" s="14">
        <f t="shared" si="0"/>
        <v>0</v>
      </c>
    </row>
  </sheetData>
  <pageMargins left="0.7" right="0.7" top="0.75" bottom="0.75" header="0.3" footer="0.3"/>
  <ignoredErrors>
    <ignoredError sqref="A3 A13" twoDigitTextYear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</sheetPr>
  <dimension ref="A1:S46"/>
  <sheetViews>
    <sheetView workbookViewId="0"/>
  </sheetViews>
  <sheetFormatPr baseColWidth="10" defaultColWidth="11" defaultRowHeight="13.8" x14ac:dyDescent="0.25"/>
  <cols>
    <col min="1" max="1" width="12.69921875" customWidth="1"/>
  </cols>
  <sheetData>
    <row r="1" spans="1:19" ht="14.4" thickBot="1" x14ac:dyDescent="0.3">
      <c r="B1" t="s">
        <v>21</v>
      </c>
    </row>
    <row r="2" spans="1:19" ht="14.4" thickBot="1" x14ac:dyDescent="0.3">
      <c r="A2" t="s">
        <v>43</v>
      </c>
      <c r="B2" t="s">
        <v>44</v>
      </c>
      <c r="C2" s="1" t="s">
        <v>24</v>
      </c>
      <c r="D2" s="2" t="s">
        <v>25</v>
      </c>
      <c r="E2" s="2" t="s">
        <v>26</v>
      </c>
      <c r="F2" s="2" t="s">
        <v>27</v>
      </c>
      <c r="G2" s="2" t="s">
        <v>28</v>
      </c>
      <c r="H2" s="2" t="s">
        <v>29</v>
      </c>
      <c r="I2" s="2" t="s">
        <v>30</v>
      </c>
      <c r="J2" s="2" t="s">
        <v>31</v>
      </c>
      <c r="K2" s="2" t="s">
        <v>32</v>
      </c>
      <c r="L2" s="2" t="s">
        <v>33</v>
      </c>
      <c r="M2" s="2" t="s">
        <v>34</v>
      </c>
      <c r="N2" s="2" t="s">
        <v>35</v>
      </c>
      <c r="O2" s="2" t="s">
        <v>36</v>
      </c>
      <c r="P2" s="2" t="s">
        <v>37</v>
      </c>
      <c r="Q2" s="2" t="s">
        <v>38</v>
      </c>
      <c r="R2" s="2" t="s">
        <v>39</v>
      </c>
      <c r="S2" s="3" t="s">
        <v>40</v>
      </c>
    </row>
    <row r="3" spans="1:19" x14ac:dyDescent="0.25">
      <c r="A3" s="10" t="s">
        <v>48</v>
      </c>
      <c r="B3" s="11" t="s">
        <v>7</v>
      </c>
      <c r="C3" s="23">
        <f>LOOKUP('Hypothèses et Graphiques'!D$4,'Liste quot persp Mortalité Hom'!$C$1:$AH$1,'Liste quot persp Mortalité Hom'!$C2:$AH2)</f>
        <v>0</v>
      </c>
      <c r="D3" s="23">
        <f>LOOKUP('Hypothèses et Graphiques'!E$4,'Liste quot persp Mortalité Hom'!$C$1:$AH$1,'Liste quot persp Mortalité Hom'!$C2:$AH2)</f>
        <v>0</v>
      </c>
      <c r="E3" s="23">
        <f>LOOKUP('Hypothèses et Graphiques'!F$4,'Liste quot persp Mortalité Hom'!$C$1:$AH$1,'Liste quot persp Mortalité Hom'!$C2:$AH2)</f>
        <v>0</v>
      </c>
      <c r="F3" s="23">
        <f>LOOKUP('Hypothèses et Graphiques'!G$4,'Liste quot persp Mortalité Hom'!$C$1:$AH$1,'Liste quot persp Mortalité Hom'!$C2:$AH2)</f>
        <v>0</v>
      </c>
      <c r="G3" s="23">
        <f>LOOKUP('Hypothèses et Graphiques'!H$4,'Liste quot persp Mortalité Hom'!$C$1:$AH$1,'Liste quot persp Mortalité Hom'!$C2:$AH2)</f>
        <v>0</v>
      </c>
      <c r="H3" s="23">
        <f>LOOKUP('Hypothèses et Graphiques'!I$4,'Liste quot persp Mortalité Hom'!$C$1:$AH$1,'Liste quot persp Mortalité Hom'!$C2:$AH2)</f>
        <v>0</v>
      </c>
      <c r="I3" s="23">
        <f>LOOKUP('Hypothèses et Graphiques'!J$4,'Liste quot persp Mortalité Hom'!$C$1:$AH$1,'Liste quot persp Mortalité Hom'!$C2:$AH2)</f>
        <v>0</v>
      </c>
      <c r="J3" s="23">
        <f>LOOKUP('Hypothèses et Graphiques'!K$4,'Liste quot persp Mortalité Hom'!$C$1:$AH$1,'Liste quot persp Mortalité Hom'!$C2:$AH2)</f>
        <v>0</v>
      </c>
      <c r="K3" s="23">
        <f>LOOKUP('Hypothèses et Graphiques'!L$4,'Liste quot persp Mortalité Hom'!$C$1:$AH$1,'Liste quot persp Mortalité Hom'!$C2:$AH2)</f>
        <v>0</v>
      </c>
      <c r="L3" s="23">
        <f>LOOKUP('Hypothèses et Graphiques'!M$4,'Liste quot persp Mortalité Hom'!$C$1:$AH$1,'Liste quot persp Mortalité Hom'!$C2:$AH2)</f>
        <v>0</v>
      </c>
      <c r="M3" s="23">
        <f>LOOKUP('Hypothèses et Graphiques'!N$4,'Liste quot persp Mortalité Hom'!$C$1:$AH$1,'Liste quot persp Mortalité Hom'!$C2:$AH2)</f>
        <v>0</v>
      </c>
      <c r="N3" s="23">
        <f>LOOKUP('Hypothèses et Graphiques'!O$4,'Liste quot persp Mortalité Hom'!$C$1:$AH$1,'Liste quot persp Mortalité Hom'!$C2:$AH2)</f>
        <v>0</v>
      </c>
      <c r="O3" s="23">
        <f>LOOKUP('Hypothèses et Graphiques'!P$4,'Liste quot persp Mortalité Hom'!$C$1:$AH$1,'Liste quot persp Mortalité Hom'!$C2:$AH2)</f>
        <v>0</v>
      </c>
      <c r="P3" s="23">
        <f>LOOKUP('Hypothèses et Graphiques'!Q$4,'Liste quot persp Mortalité Hom'!$C$1:$AH$1,'Liste quot persp Mortalité Hom'!$C2:$AH2)</f>
        <v>0</v>
      </c>
      <c r="Q3" s="23">
        <f>LOOKUP('Hypothèses et Graphiques'!R$4,'Liste quot persp Mortalité Hom'!$C$1:$AH$1,'Liste quot persp Mortalité Hom'!$C2:$AH2)</f>
        <v>0</v>
      </c>
      <c r="R3" s="23">
        <f>LOOKUP('Hypothèses et Graphiques'!S$4,'Liste quot persp Mortalité Hom'!$C$1:$AH$1,'Liste quot persp Mortalité Hom'!$C2:$AH2)</f>
        <v>0</v>
      </c>
      <c r="S3" s="23">
        <f>LOOKUP('Hypothèses et Graphiques'!T$4,'Liste quot persp Mortalité Hom'!$C$1:$AH$1,'Liste quot persp Mortalité Hom'!$C2:$AH2)</f>
        <v>0</v>
      </c>
    </row>
    <row r="4" spans="1:19" x14ac:dyDescent="0.25">
      <c r="A4" s="5" t="s">
        <v>7</v>
      </c>
      <c r="B4" s="12" t="s">
        <v>8</v>
      </c>
      <c r="C4" s="23">
        <f>LOOKUP('Hypothèses et Graphiques'!D$4,'Liste quot persp Mortalité Hom'!$C$1:$AH$1,'Liste quot persp Mortalité Hom'!$C3:$AH3)</f>
        <v>0</v>
      </c>
      <c r="D4" s="23">
        <f>LOOKUP('Hypothèses et Graphiques'!E$4,'Liste quot persp Mortalité Hom'!$C$1:$AH$1,'Liste quot persp Mortalité Hom'!$C3:$AH3)</f>
        <v>0</v>
      </c>
      <c r="E4" s="23">
        <f>LOOKUP('Hypothèses et Graphiques'!F$4,'Liste quot persp Mortalité Hom'!$C$1:$AH$1,'Liste quot persp Mortalité Hom'!$C3:$AH3)</f>
        <v>0</v>
      </c>
      <c r="F4" s="23">
        <f>LOOKUP('Hypothèses et Graphiques'!G$4,'Liste quot persp Mortalité Hom'!$C$1:$AH$1,'Liste quot persp Mortalité Hom'!$C3:$AH3)</f>
        <v>0</v>
      </c>
      <c r="G4" s="23">
        <f>LOOKUP('Hypothèses et Graphiques'!H$4,'Liste quot persp Mortalité Hom'!$C$1:$AH$1,'Liste quot persp Mortalité Hom'!$C3:$AH3)</f>
        <v>0</v>
      </c>
      <c r="H4" s="23">
        <f>LOOKUP('Hypothèses et Graphiques'!I$4,'Liste quot persp Mortalité Hom'!$C$1:$AH$1,'Liste quot persp Mortalité Hom'!$C3:$AH3)</f>
        <v>0</v>
      </c>
      <c r="I4" s="23">
        <f>LOOKUP('Hypothèses et Graphiques'!J$4,'Liste quot persp Mortalité Hom'!$C$1:$AH$1,'Liste quot persp Mortalité Hom'!$C3:$AH3)</f>
        <v>0</v>
      </c>
      <c r="J4" s="23">
        <f>LOOKUP('Hypothèses et Graphiques'!K$4,'Liste quot persp Mortalité Hom'!$C$1:$AH$1,'Liste quot persp Mortalité Hom'!$C3:$AH3)</f>
        <v>0</v>
      </c>
      <c r="K4" s="23">
        <f>LOOKUP('Hypothèses et Graphiques'!L$4,'Liste quot persp Mortalité Hom'!$C$1:$AH$1,'Liste quot persp Mortalité Hom'!$C3:$AH3)</f>
        <v>0</v>
      </c>
      <c r="L4" s="23">
        <f>LOOKUP('Hypothèses et Graphiques'!M$4,'Liste quot persp Mortalité Hom'!$C$1:$AH$1,'Liste quot persp Mortalité Hom'!$C3:$AH3)</f>
        <v>0</v>
      </c>
      <c r="M4" s="23">
        <f>LOOKUP('Hypothèses et Graphiques'!N$4,'Liste quot persp Mortalité Hom'!$C$1:$AH$1,'Liste quot persp Mortalité Hom'!$C3:$AH3)</f>
        <v>0</v>
      </c>
      <c r="N4" s="23">
        <f>LOOKUP('Hypothèses et Graphiques'!O$4,'Liste quot persp Mortalité Hom'!$C$1:$AH$1,'Liste quot persp Mortalité Hom'!$C3:$AH3)</f>
        <v>0</v>
      </c>
      <c r="O4" s="23">
        <f>LOOKUP('Hypothèses et Graphiques'!P$4,'Liste quot persp Mortalité Hom'!$C$1:$AH$1,'Liste quot persp Mortalité Hom'!$C3:$AH3)</f>
        <v>0</v>
      </c>
      <c r="P4" s="23">
        <f>LOOKUP('Hypothèses et Graphiques'!Q$4,'Liste quot persp Mortalité Hom'!$C$1:$AH$1,'Liste quot persp Mortalité Hom'!$C3:$AH3)</f>
        <v>0</v>
      </c>
      <c r="Q4" s="23">
        <f>LOOKUP('Hypothèses et Graphiques'!R$4,'Liste quot persp Mortalité Hom'!$C$1:$AH$1,'Liste quot persp Mortalité Hom'!$C3:$AH3)</f>
        <v>0</v>
      </c>
      <c r="R4" s="23">
        <f>LOOKUP('Hypothèses et Graphiques'!S$4,'Liste quot persp Mortalité Hom'!$C$1:$AH$1,'Liste quot persp Mortalité Hom'!$C3:$AH3)</f>
        <v>0</v>
      </c>
      <c r="S4" s="23">
        <f>LOOKUP('Hypothèses et Graphiques'!T$4,'Liste quot persp Mortalité Hom'!$C$1:$AH$1,'Liste quot persp Mortalité Hom'!$C3:$AH3)</f>
        <v>0</v>
      </c>
    </row>
    <row r="5" spans="1:19" x14ac:dyDescent="0.25">
      <c r="A5" s="5" t="s">
        <v>8</v>
      </c>
      <c r="B5" s="13" t="s">
        <v>9</v>
      </c>
      <c r="C5" s="23">
        <f>LOOKUP('Hypothèses et Graphiques'!D$4,'Liste quot persp Mortalité Hom'!$C$1:$AH$1,'Liste quot persp Mortalité Hom'!$C4:$AH4)</f>
        <v>0</v>
      </c>
      <c r="D5" s="23">
        <f>LOOKUP('Hypothèses et Graphiques'!E$4,'Liste quot persp Mortalité Hom'!$C$1:$AH$1,'Liste quot persp Mortalité Hom'!$C4:$AH4)</f>
        <v>0</v>
      </c>
      <c r="E5" s="23">
        <f>LOOKUP('Hypothèses et Graphiques'!F$4,'Liste quot persp Mortalité Hom'!$C$1:$AH$1,'Liste quot persp Mortalité Hom'!$C4:$AH4)</f>
        <v>0</v>
      </c>
      <c r="F5" s="23">
        <f>LOOKUP('Hypothèses et Graphiques'!G$4,'Liste quot persp Mortalité Hom'!$C$1:$AH$1,'Liste quot persp Mortalité Hom'!$C4:$AH4)</f>
        <v>0</v>
      </c>
      <c r="G5" s="23">
        <f>LOOKUP('Hypothèses et Graphiques'!H$4,'Liste quot persp Mortalité Hom'!$C$1:$AH$1,'Liste quot persp Mortalité Hom'!$C4:$AH4)</f>
        <v>0</v>
      </c>
      <c r="H5" s="23">
        <f>LOOKUP('Hypothèses et Graphiques'!I$4,'Liste quot persp Mortalité Hom'!$C$1:$AH$1,'Liste quot persp Mortalité Hom'!$C4:$AH4)</f>
        <v>0</v>
      </c>
      <c r="I5" s="23">
        <f>LOOKUP('Hypothèses et Graphiques'!J$4,'Liste quot persp Mortalité Hom'!$C$1:$AH$1,'Liste quot persp Mortalité Hom'!$C4:$AH4)</f>
        <v>0</v>
      </c>
      <c r="J5" s="23">
        <f>LOOKUP('Hypothèses et Graphiques'!K$4,'Liste quot persp Mortalité Hom'!$C$1:$AH$1,'Liste quot persp Mortalité Hom'!$C4:$AH4)</f>
        <v>0</v>
      </c>
      <c r="K5" s="23">
        <f>LOOKUP('Hypothèses et Graphiques'!L$4,'Liste quot persp Mortalité Hom'!$C$1:$AH$1,'Liste quot persp Mortalité Hom'!$C4:$AH4)</f>
        <v>0</v>
      </c>
      <c r="L5" s="23">
        <f>LOOKUP('Hypothèses et Graphiques'!M$4,'Liste quot persp Mortalité Hom'!$C$1:$AH$1,'Liste quot persp Mortalité Hom'!$C4:$AH4)</f>
        <v>0</v>
      </c>
      <c r="M5" s="23">
        <f>LOOKUP('Hypothèses et Graphiques'!N$4,'Liste quot persp Mortalité Hom'!$C$1:$AH$1,'Liste quot persp Mortalité Hom'!$C4:$AH4)</f>
        <v>0</v>
      </c>
      <c r="N5" s="23">
        <f>LOOKUP('Hypothèses et Graphiques'!O$4,'Liste quot persp Mortalité Hom'!$C$1:$AH$1,'Liste quot persp Mortalité Hom'!$C4:$AH4)</f>
        <v>0</v>
      </c>
      <c r="O5" s="23">
        <f>LOOKUP('Hypothèses et Graphiques'!P$4,'Liste quot persp Mortalité Hom'!$C$1:$AH$1,'Liste quot persp Mortalité Hom'!$C4:$AH4)</f>
        <v>0</v>
      </c>
      <c r="P5" s="23">
        <f>LOOKUP('Hypothèses et Graphiques'!Q$4,'Liste quot persp Mortalité Hom'!$C$1:$AH$1,'Liste quot persp Mortalité Hom'!$C4:$AH4)</f>
        <v>0</v>
      </c>
      <c r="Q5" s="23">
        <f>LOOKUP('Hypothèses et Graphiques'!R$4,'Liste quot persp Mortalité Hom'!$C$1:$AH$1,'Liste quot persp Mortalité Hom'!$C4:$AH4)</f>
        <v>0</v>
      </c>
      <c r="R5" s="23">
        <f>LOOKUP('Hypothèses et Graphiques'!S$4,'Liste quot persp Mortalité Hom'!$C$1:$AH$1,'Liste quot persp Mortalité Hom'!$C4:$AH4)</f>
        <v>0</v>
      </c>
      <c r="S5" s="23">
        <f>LOOKUP('Hypothèses et Graphiques'!T$4,'Liste quot persp Mortalité Hom'!$C$1:$AH$1,'Liste quot persp Mortalité Hom'!$C4:$AH4)</f>
        <v>0</v>
      </c>
    </row>
    <row r="6" spans="1:19" x14ac:dyDescent="0.25">
      <c r="A6" s="5" t="s">
        <v>9</v>
      </c>
      <c r="B6" s="5" t="s">
        <v>0</v>
      </c>
      <c r="C6" s="23">
        <f>LOOKUP('Hypothèses et Graphiques'!D$4,'Liste quot persp Mortalité Hom'!$C$1:$AH$1,'Liste quot persp Mortalité Hom'!$C5:$AH5)</f>
        <v>0</v>
      </c>
      <c r="D6" s="23">
        <f>LOOKUP('Hypothèses et Graphiques'!E$4,'Liste quot persp Mortalité Hom'!$C$1:$AH$1,'Liste quot persp Mortalité Hom'!$C5:$AH5)</f>
        <v>0</v>
      </c>
      <c r="E6" s="23">
        <f>LOOKUP('Hypothèses et Graphiques'!F$4,'Liste quot persp Mortalité Hom'!$C$1:$AH$1,'Liste quot persp Mortalité Hom'!$C5:$AH5)</f>
        <v>0</v>
      </c>
      <c r="F6" s="23">
        <f>LOOKUP('Hypothèses et Graphiques'!G$4,'Liste quot persp Mortalité Hom'!$C$1:$AH$1,'Liste quot persp Mortalité Hom'!$C5:$AH5)</f>
        <v>0</v>
      </c>
      <c r="G6" s="23">
        <f>LOOKUP('Hypothèses et Graphiques'!H$4,'Liste quot persp Mortalité Hom'!$C$1:$AH$1,'Liste quot persp Mortalité Hom'!$C5:$AH5)</f>
        <v>0</v>
      </c>
      <c r="H6" s="23">
        <f>LOOKUP('Hypothèses et Graphiques'!I$4,'Liste quot persp Mortalité Hom'!$C$1:$AH$1,'Liste quot persp Mortalité Hom'!$C5:$AH5)</f>
        <v>0</v>
      </c>
      <c r="I6" s="23">
        <f>LOOKUP('Hypothèses et Graphiques'!J$4,'Liste quot persp Mortalité Hom'!$C$1:$AH$1,'Liste quot persp Mortalité Hom'!$C5:$AH5)</f>
        <v>0</v>
      </c>
      <c r="J6" s="23">
        <f>LOOKUP('Hypothèses et Graphiques'!K$4,'Liste quot persp Mortalité Hom'!$C$1:$AH$1,'Liste quot persp Mortalité Hom'!$C5:$AH5)</f>
        <v>0</v>
      </c>
      <c r="K6" s="23">
        <f>LOOKUP('Hypothèses et Graphiques'!L$4,'Liste quot persp Mortalité Hom'!$C$1:$AH$1,'Liste quot persp Mortalité Hom'!$C5:$AH5)</f>
        <v>0</v>
      </c>
      <c r="L6" s="23">
        <f>LOOKUP('Hypothèses et Graphiques'!M$4,'Liste quot persp Mortalité Hom'!$C$1:$AH$1,'Liste quot persp Mortalité Hom'!$C5:$AH5)</f>
        <v>0</v>
      </c>
      <c r="M6" s="23">
        <f>LOOKUP('Hypothèses et Graphiques'!N$4,'Liste quot persp Mortalité Hom'!$C$1:$AH$1,'Liste quot persp Mortalité Hom'!$C5:$AH5)</f>
        <v>0</v>
      </c>
      <c r="N6" s="23">
        <f>LOOKUP('Hypothèses et Graphiques'!O$4,'Liste quot persp Mortalité Hom'!$C$1:$AH$1,'Liste quot persp Mortalité Hom'!$C5:$AH5)</f>
        <v>0</v>
      </c>
      <c r="O6" s="23">
        <f>LOOKUP('Hypothèses et Graphiques'!P$4,'Liste quot persp Mortalité Hom'!$C$1:$AH$1,'Liste quot persp Mortalité Hom'!$C5:$AH5)</f>
        <v>0</v>
      </c>
      <c r="P6" s="23">
        <f>LOOKUP('Hypothèses et Graphiques'!Q$4,'Liste quot persp Mortalité Hom'!$C$1:$AH$1,'Liste quot persp Mortalité Hom'!$C5:$AH5)</f>
        <v>0</v>
      </c>
      <c r="Q6" s="23">
        <f>LOOKUP('Hypothèses et Graphiques'!R$4,'Liste quot persp Mortalité Hom'!$C$1:$AH$1,'Liste quot persp Mortalité Hom'!$C5:$AH5)</f>
        <v>0</v>
      </c>
      <c r="R6" s="23">
        <f>LOOKUP('Hypothèses et Graphiques'!S$4,'Liste quot persp Mortalité Hom'!$C$1:$AH$1,'Liste quot persp Mortalité Hom'!$C5:$AH5)</f>
        <v>0</v>
      </c>
      <c r="S6" s="23">
        <f>LOOKUP('Hypothèses et Graphiques'!T$4,'Liste quot persp Mortalité Hom'!$C$1:$AH$1,'Liste quot persp Mortalité Hom'!$C5:$AH5)</f>
        <v>0</v>
      </c>
    </row>
    <row r="7" spans="1:19" x14ac:dyDescent="0.25">
      <c r="A7" s="5" t="s">
        <v>0</v>
      </c>
      <c r="B7" s="5" t="s">
        <v>1</v>
      </c>
      <c r="C7" s="23">
        <f>LOOKUP('Hypothèses et Graphiques'!D$4,'Liste quot persp Mortalité Hom'!$C$1:$AH$1,'Liste quot persp Mortalité Hom'!$C6:$AH6)</f>
        <v>0</v>
      </c>
      <c r="D7" s="23">
        <f>LOOKUP('Hypothèses et Graphiques'!E$4,'Liste quot persp Mortalité Hom'!$C$1:$AH$1,'Liste quot persp Mortalité Hom'!$C6:$AH6)</f>
        <v>0</v>
      </c>
      <c r="E7" s="23">
        <f>LOOKUP('Hypothèses et Graphiques'!F$4,'Liste quot persp Mortalité Hom'!$C$1:$AH$1,'Liste quot persp Mortalité Hom'!$C6:$AH6)</f>
        <v>0</v>
      </c>
      <c r="F7" s="23">
        <f>LOOKUP('Hypothèses et Graphiques'!G$4,'Liste quot persp Mortalité Hom'!$C$1:$AH$1,'Liste quot persp Mortalité Hom'!$C6:$AH6)</f>
        <v>0</v>
      </c>
      <c r="G7" s="23">
        <f>LOOKUP('Hypothèses et Graphiques'!H$4,'Liste quot persp Mortalité Hom'!$C$1:$AH$1,'Liste quot persp Mortalité Hom'!$C6:$AH6)</f>
        <v>0</v>
      </c>
      <c r="H7" s="23">
        <f>LOOKUP('Hypothèses et Graphiques'!I$4,'Liste quot persp Mortalité Hom'!$C$1:$AH$1,'Liste quot persp Mortalité Hom'!$C6:$AH6)</f>
        <v>0</v>
      </c>
      <c r="I7" s="23">
        <f>LOOKUP('Hypothèses et Graphiques'!J$4,'Liste quot persp Mortalité Hom'!$C$1:$AH$1,'Liste quot persp Mortalité Hom'!$C6:$AH6)</f>
        <v>0</v>
      </c>
      <c r="J7" s="23">
        <f>LOOKUP('Hypothèses et Graphiques'!K$4,'Liste quot persp Mortalité Hom'!$C$1:$AH$1,'Liste quot persp Mortalité Hom'!$C6:$AH6)</f>
        <v>0</v>
      </c>
      <c r="K7" s="23">
        <f>LOOKUP('Hypothèses et Graphiques'!L$4,'Liste quot persp Mortalité Hom'!$C$1:$AH$1,'Liste quot persp Mortalité Hom'!$C6:$AH6)</f>
        <v>0</v>
      </c>
      <c r="L7" s="23">
        <f>LOOKUP('Hypothèses et Graphiques'!M$4,'Liste quot persp Mortalité Hom'!$C$1:$AH$1,'Liste quot persp Mortalité Hom'!$C6:$AH6)</f>
        <v>0</v>
      </c>
      <c r="M7" s="23">
        <f>LOOKUP('Hypothèses et Graphiques'!N$4,'Liste quot persp Mortalité Hom'!$C$1:$AH$1,'Liste quot persp Mortalité Hom'!$C6:$AH6)</f>
        <v>0</v>
      </c>
      <c r="N7" s="23">
        <f>LOOKUP('Hypothèses et Graphiques'!O$4,'Liste quot persp Mortalité Hom'!$C$1:$AH$1,'Liste quot persp Mortalité Hom'!$C6:$AH6)</f>
        <v>0</v>
      </c>
      <c r="O7" s="23">
        <f>LOOKUP('Hypothèses et Graphiques'!P$4,'Liste quot persp Mortalité Hom'!$C$1:$AH$1,'Liste quot persp Mortalité Hom'!$C6:$AH6)</f>
        <v>0</v>
      </c>
      <c r="P7" s="23">
        <f>LOOKUP('Hypothèses et Graphiques'!Q$4,'Liste quot persp Mortalité Hom'!$C$1:$AH$1,'Liste quot persp Mortalité Hom'!$C6:$AH6)</f>
        <v>0</v>
      </c>
      <c r="Q7" s="23">
        <f>LOOKUP('Hypothèses et Graphiques'!R$4,'Liste quot persp Mortalité Hom'!$C$1:$AH$1,'Liste quot persp Mortalité Hom'!$C6:$AH6)</f>
        <v>0</v>
      </c>
      <c r="R7" s="23">
        <f>LOOKUP('Hypothèses et Graphiques'!S$4,'Liste quot persp Mortalité Hom'!$C$1:$AH$1,'Liste quot persp Mortalité Hom'!$C6:$AH6)</f>
        <v>0</v>
      </c>
      <c r="S7" s="23">
        <f>LOOKUP('Hypothèses et Graphiques'!T$4,'Liste quot persp Mortalité Hom'!$C$1:$AH$1,'Liste quot persp Mortalité Hom'!$C6:$AH6)</f>
        <v>0</v>
      </c>
    </row>
    <row r="8" spans="1:19" x14ac:dyDescent="0.25">
      <c r="A8" s="5" t="s">
        <v>1</v>
      </c>
      <c r="B8" s="5" t="s">
        <v>2</v>
      </c>
      <c r="C8" s="23">
        <f>LOOKUP('Hypothèses et Graphiques'!D$4,'Liste quot persp Mortalité Hom'!$C$1:$AH$1,'Liste quot persp Mortalité Hom'!$C7:$AH7)</f>
        <v>0</v>
      </c>
      <c r="D8" s="23">
        <f>LOOKUP('Hypothèses et Graphiques'!E$4,'Liste quot persp Mortalité Hom'!$C$1:$AH$1,'Liste quot persp Mortalité Hom'!$C7:$AH7)</f>
        <v>0</v>
      </c>
      <c r="E8" s="23">
        <f>LOOKUP('Hypothèses et Graphiques'!F$4,'Liste quot persp Mortalité Hom'!$C$1:$AH$1,'Liste quot persp Mortalité Hom'!$C7:$AH7)</f>
        <v>0</v>
      </c>
      <c r="F8" s="23">
        <f>LOOKUP('Hypothèses et Graphiques'!G$4,'Liste quot persp Mortalité Hom'!$C$1:$AH$1,'Liste quot persp Mortalité Hom'!$C7:$AH7)</f>
        <v>0</v>
      </c>
      <c r="G8" s="23">
        <f>LOOKUP('Hypothèses et Graphiques'!H$4,'Liste quot persp Mortalité Hom'!$C$1:$AH$1,'Liste quot persp Mortalité Hom'!$C7:$AH7)</f>
        <v>0</v>
      </c>
      <c r="H8" s="23">
        <f>LOOKUP('Hypothèses et Graphiques'!I$4,'Liste quot persp Mortalité Hom'!$C$1:$AH$1,'Liste quot persp Mortalité Hom'!$C7:$AH7)</f>
        <v>0</v>
      </c>
      <c r="I8" s="23">
        <f>LOOKUP('Hypothèses et Graphiques'!J$4,'Liste quot persp Mortalité Hom'!$C$1:$AH$1,'Liste quot persp Mortalité Hom'!$C7:$AH7)</f>
        <v>0</v>
      </c>
      <c r="J8" s="23">
        <f>LOOKUP('Hypothèses et Graphiques'!K$4,'Liste quot persp Mortalité Hom'!$C$1:$AH$1,'Liste quot persp Mortalité Hom'!$C7:$AH7)</f>
        <v>0</v>
      </c>
      <c r="K8" s="23">
        <f>LOOKUP('Hypothèses et Graphiques'!L$4,'Liste quot persp Mortalité Hom'!$C$1:$AH$1,'Liste quot persp Mortalité Hom'!$C7:$AH7)</f>
        <v>0</v>
      </c>
      <c r="L8" s="23">
        <f>LOOKUP('Hypothèses et Graphiques'!M$4,'Liste quot persp Mortalité Hom'!$C$1:$AH$1,'Liste quot persp Mortalité Hom'!$C7:$AH7)</f>
        <v>0</v>
      </c>
      <c r="M8" s="23">
        <f>LOOKUP('Hypothèses et Graphiques'!N$4,'Liste quot persp Mortalité Hom'!$C$1:$AH$1,'Liste quot persp Mortalité Hom'!$C7:$AH7)</f>
        <v>0</v>
      </c>
      <c r="N8" s="23">
        <f>LOOKUP('Hypothèses et Graphiques'!O$4,'Liste quot persp Mortalité Hom'!$C$1:$AH$1,'Liste quot persp Mortalité Hom'!$C7:$AH7)</f>
        <v>0</v>
      </c>
      <c r="O8" s="23">
        <f>LOOKUP('Hypothèses et Graphiques'!P$4,'Liste quot persp Mortalité Hom'!$C$1:$AH$1,'Liste quot persp Mortalité Hom'!$C7:$AH7)</f>
        <v>0</v>
      </c>
      <c r="P8" s="23">
        <f>LOOKUP('Hypothèses et Graphiques'!Q$4,'Liste quot persp Mortalité Hom'!$C$1:$AH$1,'Liste quot persp Mortalité Hom'!$C7:$AH7)</f>
        <v>0</v>
      </c>
      <c r="Q8" s="23">
        <f>LOOKUP('Hypothèses et Graphiques'!R$4,'Liste quot persp Mortalité Hom'!$C$1:$AH$1,'Liste quot persp Mortalité Hom'!$C7:$AH7)</f>
        <v>0</v>
      </c>
      <c r="R8" s="23">
        <f>LOOKUP('Hypothèses et Graphiques'!S$4,'Liste quot persp Mortalité Hom'!$C$1:$AH$1,'Liste quot persp Mortalité Hom'!$C7:$AH7)</f>
        <v>0</v>
      </c>
      <c r="S8" s="23">
        <f>LOOKUP('Hypothèses et Graphiques'!T$4,'Liste quot persp Mortalité Hom'!$C$1:$AH$1,'Liste quot persp Mortalité Hom'!$C7:$AH7)</f>
        <v>0</v>
      </c>
    </row>
    <row r="9" spans="1:19" x14ac:dyDescent="0.25">
      <c r="A9" s="5" t="s">
        <v>2</v>
      </c>
      <c r="B9" s="5" t="s">
        <v>3</v>
      </c>
      <c r="C9" s="23">
        <f>LOOKUP('Hypothèses et Graphiques'!D$4,'Liste quot persp Mortalité Hom'!$C$1:$AH$1,'Liste quot persp Mortalité Hom'!$C8:$AH8)</f>
        <v>0</v>
      </c>
      <c r="D9" s="23">
        <f>LOOKUP('Hypothèses et Graphiques'!E$4,'Liste quot persp Mortalité Hom'!$C$1:$AH$1,'Liste quot persp Mortalité Hom'!$C8:$AH8)</f>
        <v>0</v>
      </c>
      <c r="E9" s="23">
        <f>LOOKUP('Hypothèses et Graphiques'!F$4,'Liste quot persp Mortalité Hom'!$C$1:$AH$1,'Liste quot persp Mortalité Hom'!$C8:$AH8)</f>
        <v>0</v>
      </c>
      <c r="F9" s="23">
        <f>LOOKUP('Hypothèses et Graphiques'!G$4,'Liste quot persp Mortalité Hom'!$C$1:$AH$1,'Liste quot persp Mortalité Hom'!$C8:$AH8)</f>
        <v>0</v>
      </c>
      <c r="G9" s="23">
        <f>LOOKUP('Hypothèses et Graphiques'!H$4,'Liste quot persp Mortalité Hom'!$C$1:$AH$1,'Liste quot persp Mortalité Hom'!$C8:$AH8)</f>
        <v>0</v>
      </c>
      <c r="H9" s="23">
        <f>LOOKUP('Hypothèses et Graphiques'!I$4,'Liste quot persp Mortalité Hom'!$C$1:$AH$1,'Liste quot persp Mortalité Hom'!$C8:$AH8)</f>
        <v>0</v>
      </c>
      <c r="I9" s="23">
        <f>LOOKUP('Hypothèses et Graphiques'!J$4,'Liste quot persp Mortalité Hom'!$C$1:$AH$1,'Liste quot persp Mortalité Hom'!$C8:$AH8)</f>
        <v>0</v>
      </c>
      <c r="J9" s="23">
        <f>LOOKUP('Hypothèses et Graphiques'!K$4,'Liste quot persp Mortalité Hom'!$C$1:$AH$1,'Liste quot persp Mortalité Hom'!$C8:$AH8)</f>
        <v>0</v>
      </c>
      <c r="K9" s="23">
        <f>LOOKUP('Hypothèses et Graphiques'!L$4,'Liste quot persp Mortalité Hom'!$C$1:$AH$1,'Liste quot persp Mortalité Hom'!$C8:$AH8)</f>
        <v>0</v>
      </c>
      <c r="L9" s="23">
        <f>LOOKUP('Hypothèses et Graphiques'!M$4,'Liste quot persp Mortalité Hom'!$C$1:$AH$1,'Liste quot persp Mortalité Hom'!$C8:$AH8)</f>
        <v>0</v>
      </c>
      <c r="M9" s="23">
        <f>LOOKUP('Hypothèses et Graphiques'!N$4,'Liste quot persp Mortalité Hom'!$C$1:$AH$1,'Liste quot persp Mortalité Hom'!$C8:$AH8)</f>
        <v>0</v>
      </c>
      <c r="N9" s="23">
        <f>LOOKUP('Hypothèses et Graphiques'!O$4,'Liste quot persp Mortalité Hom'!$C$1:$AH$1,'Liste quot persp Mortalité Hom'!$C8:$AH8)</f>
        <v>0</v>
      </c>
      <c r="O9" s="23">
        <f>LOOKUP('Hypothèses et Graphiques'!P$4,'Liste quot persp Mortalité Hom'!$C$1:$AH$1,'Liste quot persp Mortalité Hom'!$C8:$AH8)</f>
        <v>0</v>
      </c>
      <c r="P9" s="23">
        <f>LOOKUP('Hypothèses et Graphiques'!Q$4,'Liste quot persp Mortalité Hom'!$C$1:$AH$1,'Liste quot persp Mortalité Hom'!$C8:$AH8)</f>
        <v>0</v>
      </c>
      <c r="Q9" s="23">
        <f>LOOKUP('Hypothèses et Graphiques'!R$4,'Liste quot persp Mortalité Hom'!$C$1:$AH$1,'Liste quot persp Mortalité Hom'!$C8:$AH8)</f>
        <v>0</v>
      </c>
      <c r="R9" s="23">
        <f>LOOKUP('Hypothèses et Graphiques'!S$4,'Liste quot persp Mortalité Hom'!$C$1:$AH$1,'Liste quot persp Mortalité Hom'!$C8:$AH8)</f>
        <v>0</v>
      </c>
      <c r="S9" s="23">
        <f>LOOKUP('Hypothèses et Graphiques'!T$4,'Liste quot persp Mortalité Hom'!$C$1:$AH$1,'Liste quot persp Mortalité Hom'!$C8:$AH8)</f>
        <v>0</v>
      </c>
    </row>
    <row r="10" spans="1:19" x14ac:dyDescent="0.25">
      <c r="A10" s="5" t="s">
        <v>3</v>
      </c>
      <c r="B10" s="5" t="s">
        <v>4</v>
      </c>
      <c r="C10" s="23">
        <f>LOOKUP('Hypothèses et Graphiques'!D$4,'Liste quot persp Mortalité Hom'!$C$1:$AH$1,'Liste quot persp Mortalité Hom'!$C9:$AH9)</f>
        <v>0</v>
      </c>
      <c r="D10" s="23">
        <f>LOOKUP('Hypothèses et Graphiques'!E$4,'Liste quot persp Mortalité Hom'!$C$1:$AH$1,'Liste quot persp Mortalité Hom'!$C9:$AH9)</f>
        <v>0</v>
      </c>
      <c r="E10" s="23">
        <f>LOOKUP('Hypothèses et Graphiques'!F$4,'Liste quot persp Mortalité Hom'!$C$1:$AH$1,'Liste quot persp Mortalité Hom'!$C9:$AH9)</f>
        <v>0</v>
      </c>
      <c r="F10" s="23">
        <f>LOOKUP('Hypothèses et Graphiques'!G$4,'Liste quot persp Mortalité Hom'!$C$1:$AH$1,'Liste quot persp Mortalité Hom'!$C9:$AH9)</f>
        <v>0</v>
      </c>
      <c r="G10" s="23">
        <f>LOOKUP('Hypothèses et Graphiques'!H$4,'Liste quot persp Mortalité Hom'!$C$1:$AH$1,'Liste quot persp Mortalité Hom'!$C9:$AH9)</f>
        <v>0</v>
      </c>
      <c r="H10" s="23">
        <f>LOOKUP('Hypothèses et Graphiques'!I$4,'Liste quot persp Mortalité Hom'!$C$1:$AH$1,'Liste quot persp Mortalité Hom'!$C9:$AH9)</f>
        <v>0</v>
      </c>
      <c r="I10" s="23">
        <f>LOOKUP('Hypothèses et Graphiques'!J$4,'Liste quot persp Mortalité Hom'!$C$1:$AH$1,'Liste quot persp Mortalité Hom'!$C9:$AH9)</f>
        <v>0</v>
      </c>
      <c r="J10" s="23">
        <f>LOOKUP('Hypothèses et Graphiques'!K$4,'Liste quot persp Mortalité Hom'!$C$1:$AH$1,'Liste quot persp Mortalité Hom'!$C9:$AH9)</f>
        <v>0</v>
      </c>
      <c r="K10" s="23">
        <f>LOOKUP('Hypothèses et Graphiques'!L$4,'Liste quot persp Mortalité Hom'!$C$1:$AH$1,'Liste quot persp Mortalité Hom'!$C9:$AH9)</f>
        <v>0</v>
      </c>
      <c r="L10" s="23">
        <f>LOOKUP('Hypothèses et Graphiques'!M$4,'Liste quot persp Mortalité Hom'!$C$1:$AH$1,'Liste quot persp Mortalité Hom'!$C9:$AH9)</f>
        <v>0</v>
      </c>
      <c r="M10" s="23">
        <f>LOOKUP('Hypothèses et Graphiques'!N$4,'Liste quot persp Mortalité Hom'!$C$1:$AH$1,'Liste quot persp Mortalité Hom'!$C9:$AH9)</f>
        <v>0</v>
      </c>
      <c r="N10" s="23">
        <f>LOOKUP('Hypothèses et Graphiques'!O$4,'Liste quot persp Mortalité Hom'!$C$1:$AH$1,'Liste quot persp Mortalité Hom'!$C9:$AH9)</f>
        <v>0</v>
      </c>
      <c r="O10" s="23">
        <f>LOOKUP('Hypothèses et Graphiques'!P$4,'Liste quot persp Mortalité Hom'!$C$1:$AH$1,'Liste quot persp Mortalité Hom'!$C9:$AH9)</f>
        <v>0</v>
      </c>
      <c r="P10" s="23">
        <f>LOOKUP('Hypothèses et Graphiques'!Q$4,'Liste quot persp Mortalité Hom'!$C$1:$AH$1,'Liste quot persp Mortalité Hom'!$C9:$AH9)</f>
        <v>0</v>
      </c>
      <c r="Q10" s="23">
        <f>LOOKUP('Hypothèses et Graphiques'!R$4,'Liste quot persp Mortalité Hom'!$C$1:$AH$1,'Liste quot persp Mortalité Hom'!$C9:$AH9)</f>
        <v>0</v>
      </c>
      <c r="R10" s="23">
        <f>LOOKUP('Hypothèses et Graphiques'!S$4,'Liste quot persp Mortalité Hom'!$C$1:$AH$1,'Liste quot persp Mortalité Hom'!$C9:$AH9)</f>
        <v>0</v>
      </c>
      <c r="S10" s="23">
        <f>LOOKUP('Hypothèses et Graphiques'!T$4,'Liste quot persp Mortalité Hom'!$C$1:$AH$1,'Liste quot persp Mortalité Hom'!$C9:$AH9)</f>
        <v>0</v>
      </c>
    </row>
    <row r="11" spans="1:19" x14ac:dyDescent="0.25">
      <c r="A11" s="5" t="s">
        <v>4</v>
      </c>
      <c r="B11" s="5" t="s">
        <v>5</v>
      </c>
      <c r="C11" s="23">
        <f>LOOKUP('Hypothèses et Graphiques'!D$4,'Liste quot persp Mortalité Hom'!$C$1:$AH$1,'Liste quot persp Mortalité Hom'!$C10:$AH10)</f>
        <v>0</v>
      </c>
      <c r="D11" s="23">
        <f>LOOKUP('Hypothèses et Graphiques'!E$4,'Liste quot persp Mortalité Hom'!$C$1:$AH$1,'Liste quot persp Mortalité Hom'!$C10:$AH10)</f>
        <v>0</v>
      </c>
      <c r="E11" s="23">
        <f>LOOKUP('Hypothèses et Graphiques'!F$4,'Liste quot persp Mortalité Hom'!$C$1:$AH$1,'Liste quot persp Mortalité Hom'!$C10:$AH10)</f>
        <v>0</v>
      </c>
      <c r="F11" s="23">
        <f>LOOKUP('Hypothèses et Graphiques'!G$4,'Liste quot persp Mortalité Hom'!$C$1:$AH$1,'Liste quot persp Mortalité Hom'!$C10:$AH10)</f>
        <v>0</v>
      </c>
      <c r="G11" s="23">
        <f>LOOKUP('Hypothèses et Graphiques'!H$4,'Liste quot persp Mortalité Hom'!$C$1:$AH$1,'Liste quot persp Mortalité Hom'!$C10:$AH10)</f>
        <v>0</v>
      </c>
      <c r="H11" s="23">
        <f>LOOKUP('Hypothèses et Graphiques'!I$4,'Liste quot persp Mortalité Hom'!$C$1:$AH$1,'Liste quot persp Mortalité Hom'!$C10:$AH10)</f>
        <v>0</v>
      </c>
      <c r="I11" s="23">
        <f>LOOKUP('Hypothèses et Graphiques'!J$4,'Liste quot persp Mortalité Hom'!$C$1:$AH$1,'Liste quot persp Mortalité Hom'!$C10:$AH10)</f>
        <v>0</v>
      </c>
      <c r="J11" s="23">
        <f>LOOKUP('Hypothèses et Graphiques'!K$4,'Liste quot persp Mortalité Hom'!$C$1:$AH$1,'Liste quot persp Mortalité Hom'!$C10:$AH10)</f>
        <v>0</v>
      </c>
      <c r="K11" s="23">
        <f>LOOKUP('Hypothèses et Graphiques'!L$4,'Liste quot persp Mortalité Hom'!$C$1:$AH$1,'Liste quot persp Mortalité Hom'!$C10:$AH10)</f>
        <v>0</v>
      </c>
      <c r="L11" s="23">
        <f>LOOKUP('Hypothèses et Graphiques'!M$4,'Liste quot persp Mortalité Hom'!$C$1:$AH$1,'Liste quot persp Mortalité Hom'!$C10:$AH10)</f>
        <v>0</v>
      </c>
      <c r="M11" s="23">
        <f>LOOKUP('Hypothèses et Graphiques'!N$4,'Liste quot persp Mortalité Hom'!$C$1:$AH$1,'Liste quot persp Mortalité Hom'!$C10:$AH10)</f>
        <v>0</v>
      </c>
      <c r="N11" s="23">
        <f>LOOKUP('Hypothèses et Graphiques'!O$4,'Liste quot persp Mortalité Hom'!$C$1:$AH$1,'Liste quot persp Mortalité Hom'!$C10:$AH10)</f>
        <v>0</v>
      </c>
      <c r="O11" s="23">
        <f>LOOKUP('Hypothèses et Graphiques'!P$4,'Liste quot persp Mortalité Hom'!$C$1:$AH$1,'Liste quot persp Mortalité Hom'!$C10:$AH10)</f>
        <v>0</v>
      </c>
      <c r="P11" s="23">
        <f>LOOKUP('Hypothèses et Graphiques'!Q$4,'Liste quot persp Mortalité Hom'!$C$1:$AH$1,'Liste quot persp Mortalité Hom'!$C10:$AH10)</f>
        <v>0</v>
      </c>
      <c r="Q11" s="23">
        <f>LOOKUP('Hypothèses et Graphiques'!R$4,'Liste quot persp Mortalité Hom'!$C$1:$AH$1,'Liste quot persp Mortalité Hom'!$C10:$AH10)</f>
        <v>0</v>
      </c>
      <c r="R11" s="23">
        <f>LOOKUP('Hypothèses et Graphiques'!S$4,'Liste quot persp Mortalité Hom'!$C$1:$AH$1,'Liste quot persp Mortalité Hom'!$C10:$AH10)</f>
        <v>0</v>
      </c>
      <c r="S11" s="23">
        <f>LOOKUP('Hypothèses et Graphiques'!T$4,'Liste quot persp Mortalité Hom'!$C$1:$AH$1,'Liste quot persp Mortalité Hom'!$C10:$AH10)</f>
        <v>0</v>
      </c>
    </row>
    <row r="12" spans="1:19" x14ac:dyDescent="0.25">
      <c r="A12" s="5" t="s">
        <v>5</v>
      </c>
      <c r="B12" s="5" t="s">
        <v>6</v>
      </c>
      <c r="C12" s="23">
        <f>LOOKUP('Hypothèses et Graphiques'!D$4,'Liste quot persp Mortalité Hom'!$C$1:$AH$1,'Liste quot persp Mortalité Hom'!$C11:$AH11)</f>
        <v>0</v>
      </c>
      <c r="D12" s="23">
        <f>LOOKUP('Hypothèses et Graphiques'!E$4,'Liste quot persp Mortalité Hom'!$C$1:$AH$1,'Liste quot persp Mortalité Hom'!$C11:$AH11)</f>
        <v>0</v>
      </c>
      <c r="E12" s="23">
        <f>LOOKUP('Hypothèses et Graphiques'!F$4,'Liste quot persp Mortalité Hom'!$C$1:$AH$1,'Liste quot persp Mortalité Hom'!$C11:$AH11)</f>
        <v>0</v>
      </c>
      <c r="F12" s="23">
        <f>LOOKUP('Hypothèses et Graphiques'!G$4,'Liste quot persp Mortalité Hom'!$C$1:$AH$1,'Liste quot persp Mortalité Hom'!$C11:$AH11)</f>
        <v>0</v>
      </c>
      <c r="G12" s="23">
        <f>LOOKUP('Hypothèses et Graphiques'!H$4,'Liste quot persp Mortalité Hom'!$C$1:$AH$1,'Liste quot persp Mortalité Hom'!$C11:$AH11)</f>
        <v>0</v>
      </c>
      <c r="H12" s="23">
        <f>LOOKUP('Hypothèses et Graphiques'!I$4,'Liste quot persp Mortalité Hom'!$C$1:$AH$1,'Liste quot persp Mortalité Hom'!$C11:$AH11)</f>
        <v>0</v>
      </c>
      <c r="I12" s="23">
        <f>LOOKUP('Hypothèses et Graphiques'!J$4,'Liste quot persp Mortalité Hom'!$C$1:$AH$1,'Liste quot persp Mortalité Hom'!$C11:$AH11)</f>
        <v>0</v>
      </c>
      <c r="J12" s="23">
        <f>LOOKUP('Hypothèses et Graphiques'!K$4,'Liste quot persp Mortalité Hom'!$C$1:$AH$1,'Liste quot persp Mortalité Hom'!$C11:$AH11)</f>
        <v>0</v>
      </c>
      <c r="K12" s="23">
        <f>LOOKUP('Hypothèses et Graphiques'!L$4,'Liste quot persp Mortalité Hom'!$C$1:$AH$1,'Liste quot persp Mortalité Hom'!$C11:$AH11)</f>
        <v>0</v>
      </c>
      <c r="L12" s="23">
        <f>LOOKUP('Hypothèses et Graphiques'!M$4,'Liste quot persp Mortalité Hom'!$C$1:$AH$1,'Liste quot persp Mortalité Hom'!$C11:$AH11)</f>
        <v>0</v>
      </c>
      <c r="M12" s="23">
        <f>LOOKUP('Hypothèses et Graphiques'!N$4,'Liste quot persp Mortalité Hom'!$C$1:$AH$1,'Liste quot persp Mortalité Hom'!$C11:$AH11)</f>
        <v>0</v>
      </c>
      <c r="N12" s="23">
        <f>LOOKUP('Hypothèses et Graphiques'!O$4,'Liste quot persp Mortalité Hom'!$C$1:$AH$1,'Liste quot persp Mortalité Hom'!$C11:$AH11)</f>
        <v>0</v>
      </c>
      <c r="O12" s="23">
        <f>LOOKUP('Hypothèses et Graphiques'!P$4,'Liste quot persp Mortalité Hom'!$C$1:$AH$1,'Liste quot persp Mortalité Hom'!$C11:$AH11)</f>
        <v>0</v>
      </c>
      <c r="P12" s="23">
        <f>LOOKUP('Hypothèses et Graphiques'!Q$4,'Liste quot persp Mortalité Hom'!$C$1:$AH$1,'Liste quot persp Mortalité Hom'!$C11:$AH11)</f>
        <v>0</v>
      </c>
      <c r="Q12" s="23">
        <f>LOOKUP('Hypothèses et Graphiques'!R$4,'Liste quot persp Mortalité Hom'!$C$1:$AH$1,'Liste quot persp Mortalité Hom'!$C11:$AH11)</f>
        <v>0</v>
      </c>
      <c r="R12" s="23">
        <f>LOOKUP('Hypothèses et Graphiques'!S$4,'Liste quot persp Mortalité Hom'!$C$1:$AH$1,'Liste quot persp Mortalité Hom'!$C11:$AH11)</f>
        <v>0</v>
      </c>
      <c r="S12" s="23">
        <f>LOOKUP('Hypothèses et Graphiques'!T$4,'Liste quot persp Mortalité Hom'!$C$1:$AH$1,'Liste quot persp Mortalité Hom'!$C11:$AH11)</f>
        <v>0</v>
      </c>
    </row>
    <row r="13" spans="1:19" x14ac:dyDescent="0.25">
      <c r="A13" s="5" t="s">
        <v>6</v>
      </c>
      <c r="B13" s="5" t="s">
        <v>10</v>
      </c>
      <c r="C13" s="23">
        <f>LOOKUP('Hypothèses et Graphiques'!D$4,'Liste quot persp Mortalité Hom'!$C$1:$AH$1,'Liste quot persp Mortalité Hom'!$C12:$AH12)</f>
        <v>0</v>
      </c>
      <c r="D13" s="23">
        <f>LOOKUP('Hypothèses et Graphiques'!E$4,'Liste quot persp Mortalité Hom'!$C$1:$AH$1,'Liste quot persp Mortalité Hom'!$C12:$AH12)</f>
        <v>0</v>
      </c>
      <c r="E13" s="23">
        <f>LOOKUP('Hypothèses et Graphiques'!F$4,'Liste quot persp Mortalité Hom'!$C$1:$AH$1,'Liste quot persp Mortalité Hom'!$C12:$AH12)</f>
        <v>0</v>
      </c>
      <c r="F13" s="23">
        <f>LOOKUP('Hypothèses et Graphiques'!G$4,'Liste quot persp Mortalité Hom'!$C$1:$AH$1,'Liste quot persp Mortalité Hom'!$C12:$AH12)</f>
        <v>0</v>
      </c>
      <c r="G13" s="23">
        <f>LOOKUP('Hypothèses et Graphiques'!H$4,'Liste quot persp Mortalité Hom'!$C$1:$AH$1,'Liste quot persp Mortalité Hom'!$C12:$AH12)</f>
        <v>0</v>
      </c>
      <c r="H13" s="23">
        <f>LOOKUP('Hypothèses et Graphiques'!I$4,'Liste quot persp Mortalité Hom'!$C$1:$AH$1,'Liste quot persp Mortalité Hom'!$C12:$AH12)</f>
        <v>0</v>
      </c>
      <c r="I13" s="23">
        <f>LOOKUP('Hypothèses et Graphiques'!J$4,'Liste quot persp Mortalité Hom'!$C$1:$AH$1,'Liste quot persp Mortalité Hom'!$C12:$AH12)</f>
        <v>0</v>
      </c>
      <c r="J13" s="23">
        <f>LOOKUP('Hypothèses et Graphiques'!K$4,'Liste quot persp Mortalité Hom'!$C$1:$AH$1,'Liste quot persp Mortalité Hom'!$C12:$AH12)</f>
        <v>0</v>
      </c>
      <c r="K13" s="23">
        <f>LOOKUP('Hypothèses et Graphiques'!L$4,'Liste quot persp Mortalité Hom'!$C$1:$AH$1,'Liste quot persp Mortalité Hom'!$C12:$AH12)</f>
        <v>0</v>
      </c>
      <c r="L13" s="23">
        <f>LOOKUP('Hypothèses et Graphiques'!M$4,'Liste quot persp Mortalité Hom'!$C$1:$AH$1,'Liste quot persp Mortalité Hom'!$C12:$AH12)</f>
        <v>0</v>
      </c>
      <c r="M13" s="23">
        <f>LOOKUP('Hypothèses et Graphiques'!N$4,'Liste quot persp Mortalité Hom'!$C$1:$AH$1,'Liste quot persp Mortalité Hom'!$C12:$AH12)</f>
        <v>0</v>
      </c>
      <c r="N13" s="23">
        <f>LOOKUP('Hypothèses et Graphiques'!O$4,'Liste quot persp Mortalité Hom'!$C$1:$AH$1,'Liste quot persp Mortalité Hom'!$C12:$AH12)</f>
        <v>0</v>
      </c>
      <c r="O13" s="23">
        <f>LOOKUP('Hypothèses et Graphiques'!P$4,'Liste quot persp Mortalité Hom'!$C$1:$AH$1,'Liste quot persp Mortalité Hom'!$C12:$AH12)</f>
        <v>0</v>
      </c>
      <c r="P13" s="23">
        <f>LOOKUP('Hypothèses et Graphiques'!Q$4,'Liste quot persp Mortalité Hom'!$C$1:$AH$1,'Liste quot persp Mortalité Hom'!$C12:$AH12)</f>
        <v>0</v>
      </c>
      <c r="Q13" s="23">
        <f>LOOKUP('Hypothèses et Graphiques'!R$4,'Liste quot persp Mortalité Hom'!$C$1:$AH$1,'Liste quot persp Mortalité Hom'!$C12:$AH12)</f>
        <v>0</v>
      </c>
      <c r="R13" s="23">
        <f>LOOKUP('Hypothèses et Graphiques'!S$4,'Liste quot persp Mortalité Hom'!$C$1:$AH$1,'Liste quot persp Mortalité Hom'!$C12:$AH12)</f>
        <v>0</v>
      </c>
      <c r="S13" s="23">
        <f>LOOKUP('Hypothèses et Graphiques'!T$4,'Liste quot persp Mortalité Hom'!$C$1:$AH$1,'Liste quot persp Mortalité Hom'!$C12:$AH12)</f>
        <v>0</v>
      </c>
    </row>
    <row r="14" spans="1:19" x14ac:dyDescent="0.25">
      <c r="A14" s="5" t="s">
        <v>10</v>
      </c>
      <c r="B14" s="5" t="s">
        <v>11</v>
      </c>
      <c r="C14" s="23">
        <f>LOOKUP('Hypothèses et Graphiques'!D$4,'Liste quot persp Mortalité Hom'!$C$1:$AH$1,'Liste quot persp Mortalité Hom'!$C13:$AH13)</f>
        <v>0</v>
      </c>
      <c r="D14" s="23">
        <f>LOOKUP('Hypothèses et Graphiques'!E$4,'Liste quot persp Mortalité Hom'!$C$1:$AH$1,'Liste quot persp Mortalité Hom'!$C13:$AH13)</f>
        <v>0</v>
      </c>
      <c r="E14" s="23">
        <f>LOOKUP('Hypothèses et Graphiques'!F$4,'Liste quot persp Mortalité Hom'!$C$1:$AH$1,'Liste quot persp Mortalité Hom'!$C13:$AH13)</f>
        <v>0</v>
      </c>
      <c r="F14" s="23">
        <f>LOOKUP('Hypothèses et Graphiques'!G$4,'Liste quot persp Mortalité Hom'!$C$1:$AH$1,'Liste quot persp Mortalité Hom'!$C13:$AH13)</f>
        <v>0</v>
      </c>
      <c r="G14" s="23">
        <f>LOOKUP('Hypothèses et Graphiques'!H$4,'Liste quot persp Mortalité Hom'!$C$1:$AH$1,'Liste quot persp Mortalité Hom'!$C13:$AH13)</f>
        <v>0</v>
      </c>
      <c r="H14" s="23">
        <f>LOOKUP('Hypothèses et Graphiques'!I$4,'Liste quot persp Mortalité Hom'!$C$1:$AH$1,'Liste quot persp Mortalité Hom'!$C13:$AH13)</f>
        <v>0</v>
      </c>
      <c r="I14" s="23">
        <f>LOOKUP('Hypothèses et Graphiques'!J$4,'Liste quot persp Mortalité Hom'!$C$1:$AH$1,'Liste quot persp Mortalité Hom'!$C13:$AH13)</f>
        <v>0</v>
      </c>
      <c r="J14" s="23">
        <f>LOOKUP('Hypothèses et Graphiques'!K$4,'Liste quot persp Mortalité Hom'!$C$1:$AH$1,'Liste quot persp Mortalité Hom'!$C13:$AH13)</f>
        <v>0</v>
      </c>
      <c r="K14" s="23">
        <f>LOOKUP('Hypothèses et Graphiques'!L$4,'Liste quot persp Mortalité Hom'!$C$1:$AH$1,'Liste quot persp Mortalité Hom'!$C13:$AH13)</f>
        <v>0</v>
      </c>
      <c r="L14" s="23">
        <f>LOOKUP('Hypothèses et Graphiques'!M$4,'Liste quot persp Mortalité Hom'!$C$1:$AH$1,'Liste quot persp Mortalité Hom'!$C13:$AH13)</f>
        <v>0</v>
      </c>
      <c r="M14" s="23">
        <f>LOOKUP('Hypothèses et Graphiques'!N$4,'Liste quot persp Mortalité Hom'!$C$1:$AH$1,'Liste quot persp Mortalité Hom'!$C13:$AH13)</f>
        <v>0</v>
      </c>
      <c r="N14" s="23">
        <f>LOOKUP('Hypothèses et Graphiques'!O$4,'Liste quot persp Mortalité Hom'!$C$1:$AH$1,'Liste quot persp Mortalité Hom'!$C13:$AH13)</f>
        <v>0</v>
      </c>
      <c r="O14" s="23">
        <f>LOOKUP('Hypothèses et Graphiques'!P$4,'Liste quot persp Mortalité Hom'!$C$1:$AH$1,'Liste quot persp Mortalité Hom'!$C13:$AH13)</f>
        <v>0</v>
      </c>
      <c r="P14" s="23">
        <f>LOOKUP('Hypothèses et Graphiques'!Q$4,'Liste quot persp Mortalité Hom'!$C$1:$AH$1,'Liste quot persp Mortalité Hom'!$C13:$AH13)</f>
        <v>0</v>
      </c>
      <c r="Q14" s="23">
        <f>LOOKUP('Hypothèses et Graphiques'!R$4,'Liste quot persp Mortalité Hom'!$C$1:$AH$1,'Liste quot persp Mortalité Hom'!$C13:$AH13)</f>
        <v>0</v>
      </c>
      <c r="R14" s="23">
        <f>LOOKUP('Hypothèses et Graphiques'!S$4,'Liste quot persp Mortalité Hom'!$C$1:$AH$1,'Liste quot persp Mortalité Hom'!$C13:$AH13)</f>
        <v>0</v>
      </c>
      <c r="S14" s="23">
        <f>LOOKUP('Hypothèses et Graphiques'!T$4,'Liste quot persp Mortalité Hom'!$C$1:$AH$1,'Liste quot persp Mortalité Hom'!$C13:$AH13)</f>
        <v>0</v>
      </c>
    </row>
    <row r="15" spans="1:19" x14ac:dyDescent="0.25">
      <c r="A15" s="5" t="s">
        <v>11</v>
      </c>
      <c r="B15" s="5" t="s">
        <v>12</v>
      </c>
      <c r="C15" s="23">
        <f>LOOKUP('Hypothèses et Graphiques'!D$4,'Liste quot persp Mortalité Hom'!$C$1:$AH$1,'Liste quot persp Mortalité Hom'!$C14:$AH14)</f>
        <v>0</v>
      </c>
      <c r="D15" s="23">
        <f>LOOKUP('Hypothèses et Graphiques'!E$4,'Liste quot persp Mortalité Hom'!$C$1:$AH$1,'Liste quot persp Mortalité Hom'!$C14:$AH14)</f>
        <v>0</v>
      </c>
      <c r="E15" s="23">
        <f>LOOKUP('Hypothèses et Graphiques'!F$4,'Liste quot persp Mortalité Hom'!$C$1:$AH$1,'Liste quot persp Mortalité Hom'!$C14:$AH14)</f>
        <v>0</v>
      </c>
      <c r="F15" s="23">
        <f>LOOKUP('Hypothèses et Graphiques'!G$4,'Liste quot persp Mortalité Hom'!$C$1:$AH$1,'Liste quot persp Mortalité Hom'!$C14:$AH14)</f>
        <v>0</v>
      </c>
      <c r="G15" s="23">
        <f>LOOKUP('Hypothèses et Graphiques'!H$4,'Liste quot persp Mortalité Hom'!$C$1:$AH$1,'Liste quot persp Mortalité Hom'!$C14:$AH14)</f>
        <v>0</v>
      </c>
      <c r="H15" s="23">
        <f>LOOKUP('Hypothèses et Graphiques'!I$4,'Liste quot persp Mortalité Hom'!$C$1:$AH$1,'Liste quot persp Mortalité Hom'!$C14:$AH14)</f>
        <v>0</v>
      </c>
      <c r="I15" s="23">
        <f>LOOKUP('Hypothèses et Graphiques'!J$4,'Liste quot persp Mortalité Hom'!$C$1:$AH$1,'Liste quot persp Mortalité Hom'!$C14:$AH14)</f>
        <v>0</v>
      </c>
      <c r="J15" s="23">
        <f>LOOKUP('Hypothèses et Graphiques'!K$4,'Liste quot persp Mortalité Hom'!$C$1:$AH$1,'Liste quot persp Mortalité Hom'!$C14:$AH14)</f>
        <v>0</v>
      </c>
      <c r="K15" s="23">
        <f>LOOKUP('Hypothèses et Graphiques'!L$4,'Liste quot persp Mortalité Hom'!$C$1:$AH$1,'Liste quot persp Mortalité Hom'!$C14:$AH14)</f>
        <v>0</v>
      </c>
      <c r="L15" s="23">
        <f>LOOKUP('Hypothèses et Graphiques'!M$4,'Liste quot persp Mortalité Hom'!$C$1:$AH$1,'Liste quot persp Mortalité Hom'!$C14:$AH14)</f>
        <v>0</v>
      </c>
      <c r="M15" s="23">
        <f>LOOKUP('Hypothèses et Graphiques'!N$4,'Liste quot persp Mortalité Hom'!$C$1:$AH$1,'Liste quot persp Mortalité Hom'!$C14:$AH14)</f>
        <v>0</v>
      </c>
      <c r="N15" s="23">
        <f>LOOKUP('Hypothèses et Graphiques'!O$4,'Liste quot persp Mortalité Hom'!$C$1:$AH$1,'Liste quot persp Mortalité Hom'!$C14:$AH14)</f>
        <v>0</v>
      </c>
      <c r="O15" s="23">
        <f>LOOKUP('Hypothèses et Graphiques'!P$4,'Liste quot persp Mortalité Hom'!$C$1:$AH$1,'Liste quot persp Mortalité Hom'!$C14:$AH14)</f>
        <v>0</v>
      </c>
      <c r="P15" s="23">
        <f>LOOKUP('Hypothèses et Graphiques'!Q$4,'Liste quot persp Mortalité Hom'!$C$1:$AH$1,'Liste quot persp Mortalité Hom'!$C14:$AH14)</f>
        <v>0</v>
      </c>
      <c r="Q15" s="23">
        <f>LOOKUP('Hypothèses et Graphiques'!R$4,'Liste quot persp Mortalité Hom'!$C$1:$AH$1,'Liste quot persp Mortalité Hom'!$C14:$AH14)</f>
        <v>0</v>
      </c>
      <c r="R15" s="23">
        <f>LOOKUP('Hypothèses et Graphiques'!S$4,'Liste quot persp Mortalité Hom'!$C$1:$AH$1,'Liste quot persp Mortalité Hom'!$C14:$AH14)</f>
        <v>0</v>
      </c>
      <c r="S15" s="23">
        <f>LOOKUP('Hypothèses et Graphiques'!T$4,'Liste quot persp Mortalité Hom'!$C$1:$AH$1,'Liste quot persp Mortalité Hom'!$C14:$AH14)</f>
        <v>0</v>
      </c>
    </row>
    <row r="16" spans="1:19" x14ac:dyDescent="0.25">
      <c r="A16" s="5" t="s">
        <v>12</v>
      </c>
      <c r="B16" s="5" t="s">
        <v>13</v>
      </c>
      <c r="C16" s="23">
        <f>LOOKUP('Hypothèses et Graphiques'!D$4,'Liste quot persp Mortalité Hom'!$C$1:$AH$1,'Liste quot persp Mortalité Hom'!$C15:$AH15)</f>
        <v>0</v>
      </c>
      <c r="D16" s="23">
        <f>LOOKUP('Hypothèses et Graphiques'!E$4,'Liste quot persp Mortalité Hom'!$C$1:$AH$1,'Liste quot persp Mortalité Hom'!$C15:$AH15)</f>
        <v>0</v>
      </c>
      <c r="E16" s="23">
        <f>LOOKUP('Hypothèses et Graphiques'!F$4,'Liste quot persp Mortalité Hom'!$C$1:$AH$1,'Liste quot persp Mortalité Hom'!$C15:$AH15)</f>
        <v>0</v>
      </c>
      <c r="F16" s="23">
        <f>LOOKUP('Hypothèses et Graphiques'!G$4,'Liste quot persp Mortalité Hom'!$C$1:$AH$1,'Liste quot persp Mortalité Hom'!$C15:$AH15)</f>
        <v>0</v>
      </c>
      <c r="G16" s="23">
        <f>LOOKUP('Hypothèses et Graphiques'!H$4,'Liste quot persp Mortalité Hom'!$C$1:$AH$1,'Liste quot persp Mortalité Hom'!$C15:$AH15)</f>
        <v>0</v>
      </c>
      <c r="H16" s="23">
        <f>LOOKUP('Hypothèses et Graphiques'!I$4,'Liste quot persp Mortalité Hom'!$C$1:$AH$1,'Liste quot persp Mortalité Hom'!$C15:$AH15)</f>
        <v>0</v>
      </c>
      <c r="I16" s="23">
        <f>LOOKUP('Hypothèses et Graphiques'!J$4,'Liste quot persp Mortalité Hom'!$C$1:$AH$1,'Liste quot persp Mortalité Hom'!$C15:$AH15)</f>
        <v>0</v>
      </c>
      <c r="J16" s="23">
        <f>LOOKUP('Hypothèses et Graphiques'!K$4,'Liste quot persp Mortalité Hom'!$C$1:$AH$1,'Liste quot persp Mortalité Hom'!$C15:$AH15)</f>
        <v>0</v>
      </c>
      <c r="K16" s="23">
        <f>LOOKUP('Hypothèses et Graphiques'!L$4,'Liste quot persp Mortalité Hom'!$C$1:$AH$1,'Liste quot persp Mortalité Hom'!$C15:$AH15)</f>
        <v>0</v>
      </c>
      <c r="L16" s="23">
        <f>LOOKUP('Hypothèses et Graphiques'!M$4,'Liste quot persp Mortalité Hom'!$C$1:$AH$1,'Liste quot persp Mortalité Hom'!$C15:$AH15)</f>
        <v>0</v>
      </c>
      <c r="M16" s="23">
        <f>LOOKUP('Hypothèses et Graphiques'!N$4,'Liste quot persp Mortalité Hom'!$C$1:$AH$1,'Liste quot persp Mortalité Hom'!$C15:$AH15)</f>
        <v>0</v>
      </c>
      <c r="N16" s="23">
        <f>LOOKUP('Hypothèses et Graphiques'!O$4,'Liste quot persp Mortalité Hom'!$C$1:$AH$1,'Liste quot persp Mortalité Hom'!$C15:$AH15)</f>
        <v>0</v>
      </c>
      <c r="O16" s="23">
        <f>LOOKUP('Hypothèses et Graphiques'!P$4,'Liste quot persp Mortalité Hom'!$C$1:$AH$1,'Liste quot persp Mortalité Hom'!$C15:$AH15)</f>
        <v>0</v>
      </c>
      <c r="P16" s="23">
        <f>LOOKUP('Hypothèses et Graphiques'!Q$4,'Liste quot persp Mortalité Hom'!$C$1:$AH$1,'Liste quot persp Mortalité Hom'!$C15:$AH15)</f>
        <v>0</v>
      </c>
      <c r="Q16" s="23">
        <f>LOOKUP('Hypothèses et Graphiques'!R$4,'Liste quot persp Mortalité Hom'!$C$1:$AH$1,'Liste quot persp Mortalité Hom'!$C15:$AH15)</f>
        <v>0</v>
      </c>
      <c r="R16" s="23">
        <f>LOOKUP('Hypothèses et Graphiques'!S$4,'Liste quot persp Mortalité Hom'!$C$1:$AH$1,'Liste quot persp Mortalité Hom'!$C15:$AH15)</f>
        <v>0</v>
      </c>
      <c r="S16" s="23">
        <f>LOOKUP('Hypothèses et Graphiques'!T$4,'Liste quot persp Mortalité Hom'!$C$1:$AH$1,'Liste quot persp Mortalité Hom'!$C15:$AH15)</f>
        <v>0</v>
      </c>
    </row>
    <row r="17" spans="1:19" x14ac:dyDescent="0.25">
      <c r="A17" s="5" t="s">
        <v>13</v>
      </c>
      <c r="B17" s="5" t="s">
        <v>14</v>
      </c>
      <c r="C17" s="23">
        <f>LOOKUP('Hypothèses et Graphiques'!D$4,'Liste quot persp Mortalité Hom'!$C$1:$AH$1,'Liste quot persp Mortalité Hom'!$C16:$AH16)</f>
        <v>0</v>
      </c>
      <c r="D17" s="23">
        <f>LOOKUP('Hypothèses et Graphiques'!E$4,'Liste quot persp Mortalité Hom'!$C$1:$AH$1,'Liste quot persp Mortalité Hom'!$C16:$AH16)</f>
        <v>0</v>
      </c>
      <c r="E17" s="23">
        <f>LOOKUP('Hypothèses et Graphiques'!F$4,'Liste quot persp Mortalité Hom'!$C$1:$AH$1,'Liste quot persp Mortalité Hom'!$C16:$AH16)</f>
        <v>0</v>
      </c>
      <c r="F17" s="23">
        <f>LOOKUP('Hypothèses et Graphiques'!G$4,'Liste quot persp Mortalité Hom'!$C$1:$AH$1,'Liste quot persp Mortalité Hom'!$C16:$AH16)</f>
        <v>0</v>
      </c>
      <c r="G17" s="23">
        <f>LOOKUP('Hypothèses et Graphiques'!H$4,'Liste quot persp Mortalité Hom'!$C$1:$AH$1,'Liste quot persp Mortalité Hom'!$C16:$AH16)</f>
        <v>0</v>
      </c>
      <c r="H17" s="23">
        <f>LOOKUP('Hypothèses et Graphiques'!I$4,'Liste quot persp Mortalité Hom'!$C$1:$AH$1,'Liste quot persp Mortalité Hom'!$C16:$AH16)</f>
        <v>0</v>
      </c>
      <c r="I17" s="23">
        <f>LOOKUP('Hypothèses et Graphiques'!J$4,'Liste quot persp Mortalité Hom'!$C$1:$AH$1,'Liste quot persp Mortalité Hom'!$C16:$AH16)</f>
        <v>0</v>
      </c>
      <c r="J17" s="23">
        <f>LOOKUP('Hypothèses et Graphiques'!K$4,'Liste quot persp Mortalité Hom'!$C$1:$AH$1,'Liste quot persp Mortalité Hom'!$C16:$AH16)</f>
        <v>0</v>
      </c>
      <c r="K17" s="23">
        <f>LOOKUP('Hypothèses et Graphiques'!L$4,'Liste quot persp Mortalité Hom'!$C$1:$AH$1,'Liste quot persp Mortalité Hom'!$C16:$AH16)</f>
        <v>0</v>
      </c>
      <c r="L17" s="23">
        <f>LOOKUP('Hypothèses et Graphiques'!M$4,'Liste quot persp Mortalité Hom'!$C$1:$AH$1,'Liste quot persp Mortalité Hom'!$C16:$AH16)</f>
        <v>0</v>
      </c>
      <c r="M17" s="23">
        <f>LOOKUP('Hypothèses et Graphiques'!N$4,'Liste quot persp Mortalité Hom'!$C$1:$AH$1,'Liste quot persp Mortalité Hom'!$C16:$AH16)</f>
        <v>0</v>
      </c>
      <c r="N17" s="23">
        <f>LOOKUP('Hypothèses et Graphiques'!O$4,'Liste quot persp Mortalité Hom'!$C$1:$AH$1,'Liste quot persp Mortalité Hom'!$C16:$AH16)</f>
        <v>0</v>
      </c>
      <c r="O17" s="23">
        <f>LOOKUP('Hypothèses et Graphiques'!P$4,'Liste quot persp Mortalité Hom'!$C$1:$AH$1,'Liste quot persp Mortalité Hom'!$C16:$AH16)</f>
        <v>0</v>
      </c>
      <c r="P17" s="23">
        <f>LOOKUP('Hypothèses et Graphiques'!Q$4,'Liste quot persp Mortalité Hom'!$C$1:$AH$1,'Liste quot persp Mortalité Hom'!$C16:$AH16)</f>
        <v>0</v>
      </c>
      <c r="Q17" s="23">
        <f>LOOKUP('Hypothèses et Graphiques'!R$4,'Liste quot persp Mortalité Hom'!$C$1:$AH$1,'Liste quot persp Mortalité Hom'!$C16:$AH16)</f>
        <v>0</v>
      </c>
      <c r="R17" s="23">
        <f>LOOKUP('Hypothèses et Graphiques'!S$4,'Liste quot persp Mortalité Hom'!$C$1:$AH$1,'Liste quot persp Mortalité Hom'!$C16:$AH16)</f>
        <v>0</v>
      </c>
      <c r="S17" s="23">
        <f>LOOKUP('Hypothèses et Graphiques'!T$4,'Liste quot persp Mortalité Hom'!$C$1:$AH$1,'Liste quot persp Mortalité Hom'!$C16:$AH16)</f>
        <v>0</v>
      </c>
    </row>
    <row r="18" spans="1:19" x14ac:dyDescent="0.25">
      <c r="A18" s="5" t="s">
        <v>14</v>
      </c>
      <c r="B18" s="5" t="s">
        <v>15</v>
      </c>
      <c r="C18" s="23">
        <f>LOOKUP('Hypothèses et Graphiques'!D$4,'Liste quot persp Mortalité Hom'!$C$1:$AH$1,'Liste quot persp Mortalité Hom'!$C17:$AH17)</f>
        <v>0</v>
      </c>
      <c r="D18" s="23">
        <f>LOOKUP('Hypothèses et Graphiques'!E$4,'Liste quot persp Mortalité Hom'!$C$1:$AH$1,'Liste quot persp Mortalité Hom'!$C17:$AH17)</f>
        <v>0</v>
      </c>
      <c r="E18" s="23">
        <f>LOOKUP('Hypothèses et Graphiques'!F$4,'Liste quot persp Mortalité Hom'!$C$1:$AH$1,'Liste quot persp Mortalité Hom'!$C17:$AH17)</f>
        <v>0</v>
      </c>
      <c r="F18" s="23">
        <f>LOOKUP('Hypothèses et Graphiques'!G$4,'Liste quot persp Mortalité Hom'!$C$1:$AH$1,'Liste quot persp Mortalité Hom'!$C17:$AH17)</f>
        <v>0</v>
      </c>
      <c r="G18" s="23">
        <f>LOOKUP('Hypothèses et Graphiques'!H$4,'Liste quot persp Mortalité Hom'!$C$1:$AH$1,'Liste quot persp Mortalité Hom'!$C17:$AH17)</f>
        <v>0</v>
      </c>
      <c r="H18" s="23">
        <f>LOOKUP('Hypothèses et Graphiques'!I$4,'Liste quot persp Mortalité Hom'!$C$1:$AH$1,'Liste quot persp Mortalité Hom'!$C17:$AH17)</f>
        <v>0</v>
      </c>
      <c r="I18" s="23">
        <f>LOOKUP('Hypothèses et Graphiques'!J$4,'Liste quot persp Mortalité Hom'!$C$1:$AH$1,'Liste quot persp Mortalité Hom'!$C17:$AH17)</f>
        <v>0</v>
      </c>
      <c r="J18" s="23">
        <f>LOOKUP('Hypothèses et Graphiques'!K$4,'Liste quot persp Mortalité Hom'!$C$1:$AH$1,'Liste quot persp Mortalité Hom'!$C17:$AH17)</f>
        <v>0</v>
      </c>
      <c r="K18" s="23">
        <f>LOOKUP('Hypothèses et Graphiques'!L$4,'Liste quot persp Mortalité Hom'!$C$1:$AH$1,'Liste quot persp Mortalité Hom'!$C17:$AH17)</f>
        <v>0</v>
      </c>
      <c r="L18" s="23">
        <f>LOOKUP('Hypothèses et Graphiques'!M$4,'Liste quot persp Mortalité Hom'!$C$1:$AH$1,'Liste quot persp Mortalité Hom'!$C17:$AH17)</f>
        <v>0</v>
      </c>
      <c r="M18" s="23">
        <f>LOOKUP('Hypothèses et Graphiques'!N$4,'Liste quot persp Mortalité Hom'!$C$1:$AH$1,'Liste quot persp Mortalité Hom'!$C17:$AH17)</f>
        <v>0</v>
      </c>
      <c r="N18" s="23">
        <f>LOOKUP('Hypothèses et Graphiques'!O$4,'Liste quot persp Mortalité Hom'!$C$1:$AH$1,'Liste quot persp Mortalité Hom'!$C17:$AH17)</f>
        <v>0</v>
      </c>
      <c r="O18" s="23">
        <f>LOOKUP('Hypothèses et Graphiques'!P$4,'Liste quot persp Mortalité Hom'!$C$1:$AH$1,'Liste quot persp Mortalité Hom'!$C17:$AH17)</f>
        <v>0</v>
      </c>
      <c r="P18" s="23">
        <f>LOOKUP('Hypothèses et Graphiques'!Q$4,'Liste quot persp Mortalité Hom'!$C$1:$AH$1,'Liste quot persp Mortalité Hom'!$C17:$AH17)</f>
        <v>0</v>
      </c>
      <c r="Q18" s="23">
        <f>LOOKUP('Hypothèses et Graphiques'!R$4,'Liste quot persp Mortalité Hom'!$C$1:$AH$1,'Liste quot persp Mortalité Hom'!$C17:$AH17)</f>
        <v>0</v>
      </c>
      <c r="R18" s="23">
        <f>LOOKUP('Hypothèses et Graphiques'!S$4,'Liste quot persp Mortalité Hom'!$C$1:$AH$1,'Liste quot persp Mortalité Hom'!$C17:$AH17)</f>
        <v>0</v>
      </c>
      <c r="S18" s="23">
        <f>LOOKUP('Hypothèses et Graphiques'!T$4,'Liste quot persp Mortalité Hom'!$C$1:$AH$1,'Liste quot persp Mortalité Hom'!$C17:$AH17)</f>
        <v>0</v>
      </c>
    </row>
    <row r="19" spans="1:19" x14ac:dyDescent="0.25">
      <c r="A19" s="5" t="s">
        <v>15</v>
      </c>
      <c r="B19" s="5" t="s">
        <v>16</v>
      </c>
      <c r="C19" s="23">
        <f>LOOKUP('Hypothèses et Graphiques'!D$4,'Liste quot persp Mortalité Hom'!$C$1:$AH$1,'Liste quot persp Mortalité Hom'!$C18:$AH18)</f>
        <v>0</v>
      </c>
      <c r="D19" s="23">
        <f>LOOKUP('Hypothèses et Graphiques'!E$4,'Liste quot persp Mortalité Hom'!$C$1:$AH$1,'Liste quot persp Mortalité Hom'!$C18:$AH18)</f>
        <v>0</v>
      </c>
      <c r="E19" s="23">
        <f>LOOKUP('Hypothèses et Graphiques'!F$4,'Liste quot persp Mortalité Hom'!$C$1:$AH$1,'Liste quot persp Mortalité Hom'!$C18:$AH18)</f>
        <v>0</v>
      </c>
      <c r="F19" s="23">
        <f>LOOKUP('Hypothèses et Graphiques'!G$4,'Liste quot persp Mortalité Hom'!$C$1:$AH$1,'Liste quot persp Mortalité Hom'!$C18:$AH18)</f>
        <v>0</v>
      </c>
      <c r="G19" s="23">
        <f>LOOKUP('Hypothèses et Graphiques'!H$4,'Liste quot persp Mortalité Hom'!$C$1:$AH$1,'Liste quot persp Mortalité Hom'!$C18:$AH18)</f>
        <v>0</v>
      </c>
      <c r="H19" s="23">
        <f>LOOKUP('Hypothèses et Graphiques'!I$4,'Liste quot persp Mortalité Hom'!$C$1:$AH$1,'Liste quot persp Mortalité Hom'!$C18:$AH18)</f>
        <v>0</v>
      </c>
      <c r="I19" s="23">
        <f>LOOKUP('Hypothèses et Graphiques'!J$4,'Liste quot persp Mortalité Hom'!$C$1:$AH$1,'Liste quot persp Mortalité Hom'!$C18:$AH18)</f>
        <v>0</v>
      </c>
      <c r="J19" s="23">
        <f>LOOKUP('Hypothèses et Graphiques'!K$4,'Liste quot persp Mortalité Hom'!$C$1:$AH$1,'Liste quot persp Mortalité Hom'!$C18:$AH18)</f>
        <v>0</v>
      </c>
      <c r="K19" s="23">
        <f>LOOKUP('Hypothèses et Graphiques'!L$4,'Liste quot persp Mortalité Hom'!$C$1:$AH$1,'Liste quot persp Mortalité Hom'!$C18:$AH18)</f>
        <v>0</v>
      </c>
      <c r="L19" s="23">
        <f>LOOKUP('Hypothèses et Graphiques'!M$4,'Liste quot persp Mortalité Hom'!$C$1:$AH$1,'Liste quot persp Mortalité Hom'!$C18:$AH18)</f>
        <v>0</v>
      </c>
      <c r="M19" s="23">
        <f>LOOKUP('Hypothèses et Graphiques'!N$4,'Liste quot persp Mortalité Hom'!$C$1:$AH$1,'Liste quot persp Mortalité Hom'!$C18:$AH18)</f>
        <v>0</v>
      </c>
      <c r="N19" s="23">
        <f>LOOKUP('Hypothèses et Graphiques'!O$4,'Liste quot persp Mortalité Hom'!$C$1:$AH$1,'Liste quot persp Mortalité Hom'!$C18:$AH18)</f>
        <v>0</v>
      </c>
      <c r="O19" s="23">
        <f>LOOKUP('Hypothèses et Graphiques'!P$4,'Liste quot persp Mortalité Hom'!$C$1:$AH$1,'Liste quot persp Mortalité Hom'!$C18:$AH18)</f>
        <v>0</v>
      </c>
      <c r="P19" s="23">
        <f>LOOKUP('Hypothèses et Graphiques'!Q$4,'Liste quot persp Mortalité Hom'!$C$1:$AH$1,'Liste quot persp Mortalité Hom'!$C18:$AH18)</f>
        <v>0</v>
      </c>
      <c r="Q19" s="23">
        <f>LOOKUP('Hypothèses et Graphiques'!R$4,'Liste quot persp Mortalité Hom'!$C$1:$AH$1,'Liste quot persp Mortalité Hom'!$C18:$AH18)</f>
        <v>0</v>
      </c>
      <c r="R19" s="23">
        <f>LOOKUP('Hypothèses et Graphiques'!S$4,'Liste quot persp Mortalité Hom'!$C$1:$AH$1,'Liste quot persp Mortalité Hom'!$C18:$AH18)</f>
        <v>0</v>
      </c>
      <c r="S19" s="23">
        <f>LOOKUP('Hypothèses et Graphiques'!T$4,'Liste quot persp Mortalité Hom'!$C$1:$AH$1,'Liste quot persp Mortalité Hom'!$C18:$AH18)</f>
        <v>0</v>
      </c>
    </row>
    <row r="20" spans="1:19" x14ac:dyDescent="0.25">
      <c r="A20" s="5" t="s">
        <v>16</v>
      </c>
      <c r="B20" s="5" t="s">
        <v>17</v>
      </c>
      <c r="C20" s="23">
        <f>LOOKUP('Hypothèses et Graphiques'!D$4,'Liste quot persp Mortalité Hom'!$C$1:$AH$1,'Liste quot persp Mortalité Hom'!$C19:$AH19)</f>
        <v>0</v>
      </c>
      <c r="D20" s="23">
        <f>LOOKUP('Hypothèses et Graphiques'!E$4,'Liste quot persp Mortalité Hom'!$C$1:$AH$1,'Liste quot persp Mortalité Hom'!$C19:$AH19)</f>
        <v>0</v>
      </c>
      <c r="E20" s="23">
        <f>LOOKUP('Hypothèses et Graphiques'!F$4,'Liste quot persp Mortalité Hom'!$C$1:$AH$1,'Liste quot persp Mortalité Hom'!$C19:$AH19)</f>
        <v>0</v>
      </c>
      <c r="F20" s="23">
        <f>LOOKUP('Hypothèses et Graphiques'!G$4,'Liste quot persp Mortalité Hom'!$C$1:$AH$1,'Liste quot persp Mortalité Hom'!$C19:$AH19)</f>
        <v>0</v>
      </c>
      <c r="G20" s="23">
        <f>LOOKUP('Hypothèses et Graphiques'!H$4,'Liste quot persp Mortalité Hom'!$C$1:$AH$1,'Liste quot persp Mortalité Hom'!$C19:$AH19)</f>
        <v>0</v>
      </c>
      <c r="H20" s="23">
        <f>LOOKUP('Hypothèses et Graphiques'!I$4,'Liste quot persp Mortalité Hom'!$C$1:$AH$1,'Liste quot persp Mortalité Hom'!$C19:$AH19)</f>
        <v>0</v>
      </c>
      <c r="I20" s="23">
        <f>LOOKUP('Hypothèses et Graphiques'!J$4,'Liste quot persp Mortalité Hom'!$C$1:$AH$1,'Liste quot persp Mortalité Hom'!$C19:$AH19)</f>
        <v>0</v>
      </c>
      <c r="J20" s="23">
        <f>LOOKUP('Hypothèses et Graphiques'!K$4,'Liste quot persp Mortalité Hom'!$C$1:$AH$1,'Liste quot persp Mortalité Hom'!$C19:$AH19)</f>
        <v>0</v>
      </c>
      <c r="K20" s="23">
        <f>LOOKUP('Hypothèses et Graphiques'!L$4,'Liste quot persp Mortalité Hom'!$C$1:$AH$1,'Liste quot persp Mortalité Hom'!$C19:$AH19)</f>
        <v>0</v>
      </c>
      <c r="L20" s="23">
        <f>LOOKUP('Hypothèses et Graphiques'!M$4,'Liste quot persp Mortalité Hom'!$C$1:$AH$1,'Liste quot persp Mortalité Hom'!$C19:$AH19)</f>
        <v>0</v>
      </c>
      <c r="M20" s="23">
        <f>LOOKUP('Hypothèses et Graphiques'!N$4,'Liste quot persp Mortalité Hom'!$C$1:$AH$1,'Liste quot persp Mortalité Hom'!$C19:$AH19)</f>
        <v>0</v>
      </c>
      <c r="N20" s="23">
        <f>LOOKUP('Hypothèses et Graphiques'!O$4,'Liste quot persp Mortalité Hom'!$C$1:$AH$1,'Liste quot persp Mortalité Hom'!$C19:$AH19)</f>
        <v>0</v>
      </c>
      <c r="O20" s="23">
        <f>LOOKUP('Hypothèses et Graphiques'!P$4,'Liste quot persp Mortalité Hom'!$C$1:$AH$1,'Liste quot persp Mortalité Hom'!$C19:$AH19)</f>
        <v>0</v>
      </c>
      <c r="P20" s="23">
        <f>LOOKUP('Hypothèses et Graphiques'!Q$4,'Liste quot persp Mortalité Hom'!$C$1:$AH$1,'Liste quot persp Mortalité Hom'!$C19:$AH19)</f>
        <v>0</v>
      </c>
      <c r="Q20" s="23">
        <f>LOOKUP('Hypothèses et Graphiques'!R$4,'Liste quot persp Mortalité Hom'!$C$1:$AH$1,'Liste quot persp Mortalité Hom'!$C19:$AH19)</f>
        <v>0</v>
      </c>
      <c r="R20" s="23">
        <f>LOOKUP('Hypothèses et Graphiques'!S$4,'Liste quot persp Mortalité Hom'!$C$1:$AH$1,'Liste quot persp Mortalité Hom'!$C19:$AH19)</f>
        <v>0</v>
      </c>
      <c r="S20" s="23">
        <f>LOOKUP('Hypothèses et Graphiques'!T$4,'Liste quot persp Mortalité Hom'!$C$1:$AH$1,'Liste quot persp Mortalité Hom'!$C19:$AH19)</f>
        <v>0</v>
      </c>
    </row>
    <row r="21" spans="1:19" x14ac:dyDescent="0.25">
      <c r="A21" s="5" t="s">
        <v>17</v>
      </c>
      <c r="B21" s="5" t="s">
        <v>18</v>
      </c>
      <c r="C21" s="23">
        <f>LOOKUP('Hypothèses et Graphiques'!D$4,'Liste quot persp Mortalité Hom'!$C$1:$AH$1,'Liste quot persp Mortalité Hom'!$C20:$AH20)</f>
        <v>0</v>
      </c>
      <c r="D21" s="23">
        <f>LOOKUP('Hypothèses et Graphiques'!E$4,'Liste quot persp Mortalité Hom'!$C$1:$AH$1,'Liste quot persp Mortalité Hom'!$C20:$AH20)</f>
        <v>0</v>
      </c>
      <c r="E21" s="23">
        <f>LOOKUP('Hypothèses et Graphiques'!F$4,'Liste quot persp Mortalité Hom'!$C$1:$AH$1,'Liste quot persp Mortalité Hom'!$C20:$AH20)</f>
        <v>0</v>
      </c>
      <c r="F21" s="23">
        <f>LOOKUP('Hypothèses et Graphiques'!G$4,'Liste quot persp Mortalité Hom'!$C$1:$AH$1,'Liste quot persp Mortalité Hom'!$C20:$AH20)</f>
        <v>0</v>
      </c>
      <c r="G21" s="23">
        <f>LOOKUP('Hypothèses et Graphiques'!H$4,'Liste quot persp Mortalité Hom'!$C$1:$AH$1,'Liste quot persp Mortalité Hom'!$C20:$AH20)</f>
        <v>0</v>
      </c>
      <c r="H21" s="23">
        <f>LOOKUP('Hypothèses et Graphiques'!I$4,'Liste quot persp Mortalité Hom'!$C$1:$AH$1,'Liste quot persp Mortalité Hom'!$C20:$AH20)</f>
        <v>0</v>
      </c>
      <c r="I21" s="23">
        <f>LOOKUP('Hypothèses et Graphiques'!J$4,'Liste quot persp Mortalité Hom'!$C$1:$AH$1,'Liste quot persp Mortalité Hom'!$C20:$AH20)</f>
        <v>0</v>
      </c>
      <c r="J21" s="23">
        <f>LOOKUP('Hypothèses et Graphiques'!K$4,'Liste quot persp Mortalité Hom'!$C$1:$AH$1,'Liste quot persp Mortalité Hom'!$C20:$AH20)</f>
        <v>0</v>
      </c>
      <c r="K21" s="23">
        <f>LOOKUP('Hypothèses et Graphiques'!L$4,'Liste quot persp Mortalité Hom'!$C$1:$AH$1,'Liste quot persp Mortalité Hom'!$C20:$AH20)</f>
        <v>0</v>
      </c>
      <c r="L21" s="23">
        <f>LOOKUP('Hypothèses et Graphiques'!M$4,'Liste quot persp Mortalité Hom'!$C$1:$AH$1,'Liste quot persp Mortalité Hom'!$C20:$AH20)</f>
        <v>0</v>
      </c>
      <c r="M21" s="23">
        <f>LOOKUP('Hypothèses et Graphiques'!N$4,'Liste quot persp Mortalité Hom'!$C$1:$AH$1,'Liste quot persp Mortalité Hom'!$C20:$AH20)</f>
        <v>0</v>
      </c>
      <c r="N21" s="23">
        <f>LOOKUP('Hypothèses et Graphiques'!O$4,'Liste quot persp Mortalité Hom'!$C$1:$AH$1,'Liste quot persp Mortalité Hom'!$C20:$AH20)</f>
        <v>0</v>
      </c>
      <c r="O21" s="23">
        <f>LOOKUP('Hypothèses et Graphiques'!P$4,'Liste quot persp Mortalité Hom'!$C$1:$AH$1,'Liste quot persp Mortalité Hom'!$C20:$AH20)</f>
        <v>0</v>
      </c>
      <c r="P21" s="23">
        <f>LOOKUP('Hypothèses et Graphiques'!Q$4,'Liste quot persp Mortalité Hom'!$C$1:$AH$1,'Liste quot persp Mortalité Hom'!$C20:$AH20)</f>
        <v>0</v>
      </c>
      <c r="Q21" s="23">
        <f>LOOKUP('Hypothèses et Graphiques'!R$4,'Liste quot persp Mortalité Hom'!$C$1:$AH$1,'Liste quot persp Mortalité Hom'!$C20:$AH20)</f>
        <v>0</v>
      </c>
      <c r="R21" s="23">
        <f>LOOKUP('Hypothèses et Graphiques'!S$4,'Liste quot persp Mortalité Hom'!$C$1:$AH$1,'Liste quot persp Mortalité Hom'!$C20:$AH20)</f>
        <v>0</v>
      </c>
      <c r="S21" s="23">
        <f>LOOKUP('Hypothèses et Graphiques'!T$4,'Liste quot persp Mortalité Hom'!$C$1:$AH$1,'Liste quot persp Mortalité Hom'!$C20:$AH20)</f>
        <v>0</v>
      </c>
    </row>
    <row r="22" spans="1:19" x14ac:dyDescent="0.25">
      <c r="A22" s="5" t="s">
        <v>18</v>
      </c>
      <c r="B22" s="5" t="s">
        <v>19</v>
      </c>
      <c r="C22" s="23">
        <f>LOOKUP('Hypothèses et Graphiques'!D$4,'Liste quot persp Mortalité Hom'!$C$1:$AH$1,'Liste quot persp Mortalité Hom'!$C21:$AH21)</f>
        <v>0</v>
      </c>
      <c r="D22" s="23">
        <f>LOOKUP('Hypothèses et Graphiques'!E$4,'Liste quot persp Mortalité Hom'!$C$1:$AH$1,'Liste quot persp Mortalité Hom'!$C21:$AH21)</f>
        <v>0</v>
      </c>
      <c r="E22" s="23">
        <f>LOOKUP('Hypothèses et Graphiques'!F$4,'Liste quot persp Mortalité Hom'!$C$1:$AH$1,'Liste quot persp Mortalité Hom'!$C21:$AH21)</f>
        <v>0</v>
      </c>
      <c r="F22" s="23">
        <f>LOOKUP('Hypothèses et Graphiques'!G$4,'Liste quot persp Mortalité Hom'!$C$1:$AH$1,'Liste quot persp Mortalité Hom'!$C21:$AH21)</f>
        <v>0</v>
      </c>
      <c r="G22" s="23">
        <f>LOOKUP('Hypothèses et Graphiques'!H$4,'Liste quot persp Mortalité Hom'!$C$1:$AH$1,'Liste quot persp Mortalité Hom'!$C21:$AH21)</f>
        <v>0</v>
      </c>
      <c r="H22" s="23">
        <f>LOOKUP('Hypothèses et Graphiques'!I$4,'Liste quot persp Mortalité Hom'!$C$1:$AH$1,'Liste quot persp Mortalité Hom'!$C21:$AH21)</f>
        <v>0</v>
      </c>
      <c r="I22" s="23">
        <f>LOOKUP('Hypothèses et Graphiques'!J$4,'Liste quot persp Mortalité Hom'!$C$1:$AH$1,'Liste quot persp Mortalité Hom'!$C21:$AH21)</f>
        <v>0</v>
      </c>
      <c r="J22" s="23">
        <f>LOOKUP('Hypothèses et Graphiques'!K$4,'Liste quot persp Mortalité Hom'!$C$1:$AH$1,'Liste quot persp Mortalité Hom'!$C21:$AH21)</f>
        <v>0</v>
      </c>
      <c r="K22" s="23">
        <f>LOOKUP('Hypothèses et Graphiques'!L$4,'Liste quot persp Mortalité Hom'!$C$1:$AH$1,'Liste quot persp Mortalité Hom'!$C21:$AH21)</f>
        <v>0</v>
      </c>
      <c r="L22" s="23">
        <f>LOOKUP('Hypothèses et Graphiques'!M$4,'Liste quot persp Mortalité Hom'!$C$1:$AH$1,'Liste quot persp Mortalité Hom'!$C21:$AH21)</f>
        <v>0</v>
      </c>
      <c r="M22" s="23">
        <f>LOOKUP('Hypothèses et Graphiques'!N$4,'Liste quot persp Mortalité Hom'!$C$1:$AH$1,'Liste quot persp Mortalité Hom'!$C21:$AH21)</f>
        <v>0</v>
      </c>
      <c r="N22" s="23">
        <f>LOOKUP('Hypothèses et Graphiques'!O$4,'Liste quot persp Mortalité Hom'!$C$1:$AH$1,'Liste quot persp Mortalité Hom'!$C21:$AH21)</f>
        <v>0</v>
      </c>
      <c r="O22" s="23">
        <f>LOOKUP('Hypothèses et Graphiques'!P$4,'Liste quot persp Mortalité Hom'!$C$1:$AH$1,'Liste quot persp Mortalité Hom'!$C21:$AH21)</f>
        <v>0</v>
      </c>
      <c r="P22" s="23">
        <f>LOOKUP('Hypothèses et Graphiques'!Q$4,'Liste quot persp Mortalité Hom'!$C$1:$AH$1,'Liste quot persp Mortalité Hom'!$C21:$AH21)</f>
        <v>0</v>
      </c>
      <c r="Q22" s="23">
        <f>LOOKUP('Hypothèses et Graphiques'!R$4,'Liste quot persp Mortalité Hom'!$C$1:$AH$1,'Liste quot persp Mortalité Hom'!$C21:$AH21)</f>
        <v>0</v>
      </c>
      <c r="R22" s="23">
        <f>LOOKUP('Hypothèses et Graphiques'!S$4,'Liste quot persp Mortalité Hom'!$C$1:$AH$1,'Liste quot persp Mortalité Hom'!$C21:$AH21)</f>
        <v>0</v>
      </c>
      <c r="S22" s="23">
        <f>LOOKUP('Hypothèses et Graphiques'!T$4,'Liste quot persp Mortalité Hom'!$C$1:$AH$1,'Liste quot persp Mortalité Hom'!$C21:$AH21)</f>
        <v>0</v>
      </c>
    </row>
    <row r="23" spans="1:19" ht="14.4" thickBot="1" x14ac:dyDescent="0.3">
      <c r="A23" s="6" t="s">
        <v>47</v>
      </c>
      <c r="B23" s="6" t="s">
        <v>20</v>
      </c>
      <c r="C23" s="23">
        <f>LOOKUP('Hypothèses et Graphiques'!D$4,'Liste quot persp Mortalité Hom'!$C$1:$AH$1,'Liste quot persp Mortalité Hom'!$C22:$AH22)</f>
        <v>0</v>
      </c>
      <c r="D23" s="23">
        <f>LOOKUP('Hypothèses et Graphiques'!E$4,'Liste quot persp Mortalité Hom'!$C$1:$AH$1,'Liste quot persp Mortalité Hom'!$C22:$AH22)</f>
        <v>0</v>
      </c>
      <c r="E23" s="23">
        <f>LOOKUP('Hypothèses et Graphiques'!F$4,'Liste quot persp Mortalité Hom'!$C$1:$AH$1,'Liste quot persp Mortalité Hom'!$C22:$AH22)</f>
        <v>0</v>
      </c>
      <c r="F23" s="23">
        <f>LOOKUP('Hypothèses et Graphiques'!G$4,'Liste quot persp Mortalité Hom'!$C$1:$AH$1,'Liste quot persp Mortalité Hom'!$C22:$AH22)</f>
        <v>0</v>
      </c>
      <c r="G23" s="23">
        <f>LOOKUP('Hypothèses et Graphiques'!H$4,'Liste quot persp Mortalité Hom'!$C$1:$AH$1,'Liste quot persp Mortalité Hom'!$C22:$AH22)</f>
        <v>0</v>
      </c>
      <c r="H23" s="23">
        <f>LOOKUP('Hypothèses et Graphiques'!I$4,'Liste quot persp Mortalité Hom'!$C$1:$AH$1,'Liste quot persp Mortalité Hom'!$C22:$AH22)</f>
        <v>0</v>
      </c>
      <c r="I23" s="23">
        <f>LOOKUP('Hypothèses et Graphiques'!J$4,'Liste quot persp Mortalité Hom'!$C$1:$AH$1,'Liste quot persp Mortalité Hom'!$C22:$AH22)</f>
        <v>0</v>
      </c>
      <c r="J23" s="23">
        <f>LOOKUP('Hypothèses et Graphiques'!K$4,'Liste quot persp Mortalité Hom'!$C$1:$AH$1,'Liste quot persp Mortalité Hom'!$C22:$AH22)</f>
        <v>0</v>
      </c>
      <c r="K23" s="23">
        <f>LOOKUP('Hypothèses et Graphiques'!L$4,'Liste quot persp Mortalité Hom'!$C$1:$AH$1,'Liste quot persp Mortalité Hom'!$C22:$AH22)</f>
        <v>0</v>
      </c>
      <c r="L23" s="23">
        <f>LOOKUP('Hypothèses et Graphiques'!M$4,'Liste quot persp Mortalité Hom'!$C$1:$AH$1,'Liste quot persp Mortalité Hom'!$C22:$AH22)</f>
        <v>0</v>
      </c>
      <c r="M23" s="23">
        <f>LOOKUP('Hypothèses et Graphiques'!N$4,'Liste quot persp Mortalité Hom'!$C$1:$AH$1,'Liste quot persp Mortalité Hom'!$C22:$AH22)</f>
        <v>0</v>
      </c>
      <c r="N23" s="23">
        <f>LOOKUP('Hypothèses et Graphiques'!O$4,'Liste quot persp Mortalité Hom'!$C$1:$AH$1,'Liste quot persp Mortalité Hom'!$C22:$AH22)</f>
        <v>0</v>
      </c>
      <c r="O23" s="23">
        <f>LOOKUP('Hypothèses et Graphiques'!P$4,'Liste quot persp Mortalité Hom'!$C$1:$AH$1,'Liste quot persp Mortalité Hom'!$C22:$AH22)</f>
        <v>0</v>
      </c>
      <c r="P23" s="23">
        <f>LOOKUP('Hypothèses et Graphiques'!Q$4,'Liste quot persp Mortalité Hom'!$C$1:$AH$1,'Liste quot persp Mortalité Hom'!$C22:$AH22)</f>
        <v>0</v>
      </c>
      <c r="Q23" s="23">
        <f>LOOKUP('Hypothèses et Graphiques'!R$4,'Liste quot persp Mortalité Hom'!$C$1:$AH$1,'Liste quot persp Mortalité Hom'!$C22:$AH22)</f>
        <v>0</v>
      </c>
      <c r="R23" s="23">
        <f>LOOKUP('Hypothèses et Graphiques'!S$4,'Liste quot persp Mortalité Hom'!$C$1:$AH$1,'Liste quot persp Mortalité Hom'!$C22:$AH22)</f>
        <v>0</v>
      </c>
      <c r="S23" s="23">
        <f>LOOKUP('Hypothèses et Graphiques'!T$4,'Liste quot persp Mortalité Hom'!$C$1:$AH$1,'Liste quot persp Mortalité Hom'!$C22:$AH22)</f>
        <v>0</v>
      </c>
    </row>
    <row r="24" spans="1:19" ht="14.4" thickBot="1" x14ac:dyDescent="0.3">
      <c r="B24" t="s">
        <v>22</v>
      </c>
    </row>
    <row r="25" spans="1:19" ht="14.4" thickBot="1" x14ac:dyDescent="0.3">
      <c r="A25" t="s">
        <v>43</v>
      </c>
      <c r="B25" t="s">
        <v>44</v>
      </c>
      <c r="C25" s="1" t="s">
        <v>24</v>
      </c>
      <c r="D25" s="2" t="s">
        <v>25</v>
      </c>
      <c r="E25" s="2" t="s">
        <v>26</v>
      </c>
      <c r="F25" s="2" t="s">
        <v>27</v>
      </c>
      <c r="G25" s="2" t="s">
        <v>28</v>
      </c>
      <c r="H25" s="2" t="s">
        <v>29</v>
      </c>
      <c r="I25" s="2" t="s">
        <v>30</v>
      </c>
      <c r="J25" s="2" t="s">
        <v>31</v>
      </c>
      <c r="K25" s="2" t="s">
        <v>32</v>
      </c>
      <c r="L25" s="2" t="s">
        <v>33</v>
      </c>
      <c r="M25" s="2" t="s">
        <v>34</v>
      </c>
      <c r="N25" s="2" t="s">
        <v>35</v>
      </c>
      <c r="O25" s="2" t="s">
        <v>36</v>
      </c>
      <c r="P25" s="2" t="s">
        <v>37</v>
      </c>
      <c r="Q25" s="2" t="s">
        <v>38</v>
      </c>
      <c r="R25" s="2" t="s">
        <v>39</v>
      </c>
      <c r="S25" s="3" t="s">
        <v>40</v>
      </c>
    </row>
    <row r="26" spans="1:19" x14ac:dyDescent="0.25">
      <c r="A26" s="10" t="s">
        <v>48</v>
      </c>
      <c r="B26" s="11" t="s">
        <v>7</v>
      </c>
      <c r="C26" s="23">
        <f>LOOKUP('Hypothèses et Graphiques'!D$5,'Liste quot persp Mortalité Fem'!$C$1:$AH$1,'Liste quot persp Mortalité Fem'!$C2:$AH2)</f>
        <v>0</v>
      </c>
      <c r="D26" s="23">
        <f>LOOKUP('Hypothèses et Graphiques'!E$5,'Liste quot persp Mortalité Fem'!$C$1:$AH$1,'Liste quot persp Mortalité Fem'!$C2:$AH2)</f>
        <v>0</v>
      </c>
      <c r="E26" s="23">
        <f>LOOKUP('Hypothèses et Graphiques'!F$5,'Liste quot persp Mortalité Fem'!$C$1:$AH$1,'Liste quot persp Mortalité Fem'!$C2:$AH2)</f>
        <v>0</v>
      </c>
      <c r="F26" s="23">
        <f>LOOKUP('Hypothèses et Graphiques'!G$5,'Liste quot persp Mortalité Fem'!$C$1:$AH$1,'Liste quot persp Mortalité Fem'!$C2:$AH2)</f>
        <v>0</v>
      </c>
      <c r="G26" s="23">
        <f>LOOKUP('Hypothèses et Graphiques'!H$5,'Liste quot persp Mortalité Fem'!$C$1:$AH$1,'Liste quot persp Mortalité Fem'!$C2:$AH2)</f>
        <v>0</v>
      </c>
      <c r="H26" s="23">
        <f>LOOKUP('Hypothèses et Graphiques'!I$5,'Liste quot persp Mortalité Fem'!$C$1:$AH$1,'Liste quot persp Mortalité Fem'!$C2:$AH2)</f>
        <v>0</v>
      </c>
      <c r="I26" s="23">
        <f>LOOKUP('Hypothèses et Graphiques'!J$5,'Liste quot persp Mortalité Fem'!$C$1:$AH$1,'Liste quot persp Mortalité Fem'!$C2:$AH2)</f>
        <v>0</v>
      </c>
      <c r="J26" s="23">
        <f>LOOKUP('Hypothèses et Graphiques'!K$5,'Liste quot persp Mortalité Fem'!$C$1:$AH$1,'Liste quot persp Mortalité Fem'!$C2:$AH2)</f>
        <v>0</v>
      </c>
      <c r="K26" s="23">
        <f>LOOKUP('Hypothèses et Graphiques'!L$5,'Liste quot persp Mortalité Fem'!$C$1:$AH$1,'Liste quot persp Mortalité Fem'!$C2:$AH2)</f>
        <v>0</v>
      </c>
      <c r="L26" s="23">
        <f>LOOKUP('Hypothèses et Graphiques'!M$5,'Liste quot persp Mortalité Fem'!$C$1:$AH$1,'Liste quot persp Mortalité Fem'!$C2:$AH2)</f>
        <v>0</v>
      </c>
      <c r="M26" s="23">
        <f>LOOKUP('Hypothèses et Graphiques'!N$5,'Liste quot persp Mortalité Fem'!$C$1:$AH$1,'Liste quot persp Mortalité Fem'!$C2:$AH2)</f>
        <v>0</v>
      </c>
      <c r="N26" s="23">
        <f>LOOKUP('Hypothèses et Graphiques'!O$5,'Liste quot persp Mortalité Fem'!$C$1:$AH$1,'Liste quot persp Mortalité Fem'!$C2:$AH2)</f>
        <v>0</v>
      </c>
      <c r="O26" s="23">
        <f>LOOKUP('Hypothèses et Graphiques'!P$5,'Liste quot persp Mortalité Fem'!$C$1:$AH$1,'Liste quot persp Mortalité Fem'!$C2:$AH2)</f>
        <v>0</v>
      </c>
      <c r="P26" s="23">
        <f>LOOKUP('Hypothèses et Graphiques'!Q$5,'Liste quot persp Mortalité Fem'!$C$1:$AH$1,'Liste quot persp Mortalité Fem'!$C2:$AH2)</f>
        <v>0</v>
      </c>
      <c r="Q26" s="23">
        <f>LOOKUP('Hypothèses et Graphiques'!R$5,'Liste quot persp Mortalité Fem'!$C$1:$AH$1,'Liste quot persp Mortalité Fem'!$C2:$AH2)</f>
        <v>0</v>
      </c>
      <c r="R26" s="23">
        <f>LOOKUP('Hypothèses et Graphiques'!S$5,'Liste quot persp Mortalité Fem'!$C$1:$AH$1,'Liste quot persp Mortalité Fem'!$C2:$AH2)</f>
        <v>0</v>
      </c>
      <c r="S26" s="23">
        <f>LOOKUP('Hypothèses et Graphiques'!T$5,'Liste quot persp Mortalité Fem'!$C$1:$AH$1,'Liste quot persp Mortalité Fem'!$C2:$AH2)</f>
        <v>0</v>
      </c>
    </row>
    <row r="27" spans="1:19" x14ac:dyDescent="0.25">
      <c r="A27" s="5" t="s">
        <v>7</v>
      </c>
      <c r="B27" s="12" t="s">
        <v>8</v>
      </c>
      <c r="C27" s="23">
        <f>LOOKUP('Hypothèses et Graphiques'!D$5,'Liste quot persp Mortalité Fem'!$C$1:$AH$1,'Liste quot persp Mortalité Fem'!$C3:$AH3)</f>
        <v>0</v>
      </c>
      <c r="D27" s="23">
        <f>LOOKUP('Hypothèses et Graphiques'!E$5,'Liste quot persp Mortalité Fem'!$C$1:$AH$1,'Liste quot persp Mortalité Fem'!$C3:$AH3)</f>
        <v>0</v>
      </c>
      <c r="E27" s="23">
        <f>LOOKUP('Hypothèses et Graphiques'!F$5,'Liste quot persp Mortalité Fem'!$C$1:$AH$1,'Liste quot persp Mortalité Fem'!$C3:$AH3)</f>
        <v>0</v>
      </c>
      <c r="F27" s="23">
        <f>LOOKUP('Hypothèses et Graphiques'!G$5,'Liste quot persp Mortalité Fem'!$C$1:$AH$1,'Liste quot persp Mortalité Fem'!$C3:$AH3)</f>
        <v>0</v>
      </c>
      <c r="G27" s="23">
        <f>LOOKUP('Hypothèses et Graphiques'!H$5,'Liste quot persp Mortalité Fem'!$C$1:$AH$1,'Liste quot persp Mortalité Fem'!$C3:$AH3)</f>
        <v>0</v>
      </c>
      <c r="H27" s="23">
        <f>LOOKUP('Hypothèses et Graphiques'!I$5,'Liste quot persp Mortalité Fem'!$C$1:$AH$1,'Liste quot persp Mortalité Fem'!$C3:$AH3)</f>
        <v>0</v>
      </c>
      <c r="I27" s="23">
        <f>LOOKUP('Hypothèses et Graphiques'!J$5,'Liste quot persp Mortalité Fem'!$C$1:$AH$1,'Liste quot persp Mortalité Fem'!$C3:$AH3)</f>
        <v>0</v>
      </c>
      <c r="J27" s="23">
        <f>LOOKUP('Hypothèses et Graphiques'!K$5,'Liste quot persp Mortalité Fem'!$C$1:$AH$1,'Liste quot persp Mortalité Fem'!$C3:$AH3)</f>
        <v>0</v>
      </c>
      <c r="K27" s="23">
        <f>LOOKUP('Hypothèses et Graphiques'!L$5,'Liste quot persp Mortalité Fem'!$C$1:$AH$1,'Liste quot persp Mortalité Fem'!$C3:$AH3)</f>
        <v>0</v>
      </c>
      <c r="L27" s="23">
        <f>LOOKUP('Hypothèses et Graphiques'!M$5,'Liste quot persp Mortalité Fem'!$C$1:$AH$1,'Liste quot persp Mortalité Fem'!$C3:$AH3)</f>
        <v>0</v>
      </c>
      <c r="M27" s="23">
        <f>LOOKUP('Hypothèses et Graphiques'!N$5,'Liste quot persp Mortalité Fem'!$C$1:$AH$1,'Liste quot persp Mortalité Fem'!$C3:$AH3)</f>
        <v>0</v>
      </c>
      <c r="N27" s="23">
        <f>LOOKUP('Hypothèses et Graphiques'!O$5,'Liste quot persp Mortalité Fem'!$C$1:$AH$1,'Liste quot persp Mortalité Fem'!$C3:$AH3)</f>
        <v>0</v>
      </c>
      <c r="O27" s="23">
        <f>LOOKUP('Hypothèses et Graphiques'!P$5,'Liste quot persp Mortalité Fem'!$C$1:$AH$1,'Liste quot persp Mortalité Fem'!$C3:$AH3)</f>
        <v>0</v>
      </c>
      <c r="P27" s="23">
        <f>LOOKUP('Hypothèses et Graphiques'!Q$5,'Liste quot persp Mortalité Fem'!$C$1:$AH$1,'Liste quot persp Mortalité Fem'!$C3:$AH3)</f>
        <v>0</v>
      </c>
      <c r="Q27" s="23">
        <f>LOOKUP('Hypothèses et Graphiques'!R$5,'Liste quot persp Mortalité Fem'!$C$1:$AH$1,'Liste quot persp Mortalité Fem'!$C3:$AH3)</f>
        <v>0</v>
      </c>
      <c r="R27" s="23">
        <f>LOOKUP('Hypothèses et Graphiques'!S$5,'Liste quot persp Mortalité Fem'!$C$1:$AH$1,'Liste quot persp Mortalité Fem'!$C3:$AH3)</f>
        <v>0</v>
      </c>
      <c r="S27" s="23">
        <f>LOOKUP('Hypothèses et Graphiques'!T$5,'Liste quot persp Mortalité Fem'!$C$1:$AH$1,'Liste quot persp Mortalité Fem'!$C3:$AH3)</f>
        <v>0</v>
      </c>
    </row>
    <row r="28" spans="1:19" x14ac:dyDescent="0.25">
      <c r="A28" s="5" t="s">
        <v>8</v>
      </c>
      <c r="B28" s="13" t="s">
        <v>9</v>
      </c>
      <c r="C28" s="23">
        <f>LOOKUP('Hypothèses et Graphiques'!D$5,'Liste quot persp Mortalité Fem'!$C$1:$AH$1,'Liste quot persp Mortalité Fem'!$C4:$AH4)</f>
        <v>0</v>
      </c>
      <c r="D28" s="23">
        <f>LOOKUP('Hypothèses et Graphiques'!E$5,'Liste quot persp Mortalité Fem'!$C$1:$AH$1,'Liste quot persp Mortalité Fem'!$C4:$AH4)</f>
        <v>0</v>
      </c>
      <c r="E28" s="23">
        <f>LOOKUP('Hypothèses et Graphiques'!F$5,'Liste quot persp Mortalité Fem'!$C$1:$AH$1,'Liste quot persp Mortalité Fem'!$C4:$AH4)</f>
        <v>0</v>
      </c>
      <c r="F28" s="23">
        <f>LOOKUP('Hypothèses et Graphiques'!G$5,'Liste quot persp Mortalité Fem'!$C$1:$AH$1,'Liste quot persp Mortalité Fem'!$C4:$AH4)</f>
        <v>0</v>
      </c>
      <c r="G28" s="23">
        <f>LOOKUP('Hypothèses et Graphiques'!H$5,'Liste quot persp Mortalité Fem'!$C$1:$AH$1,'Liste quot persp Mortalité Fem'!$C4:$AH4)</f>
        <v>0</v>
      </c>
      <c r="H28" s="23">
        <f>LOOKUP('Hypothèses et Graphiques'!I$5,'Liste quot persp Mortalité Fem'!$C$1:$AH$1,'Liste quot persp Mortalité Fem'!$C4:$AH4)</f>
        <v>0</v>
      </c>
      <c r="I28" s="23">
        <f>LOOKUP('Hypothèses et Graphiques'!J$5,'Liste quot persp Mortalité Fem'!$C$1:$AH$1,'Liste quot persp Mortalité Fem'!$C4:$AH4)</f>
        <v>0</v>
      </c>
      <c r="J28" s="23">
        <f>LOOKUP('Hypothèses et Graphiques'!K$5,'Liste quot persp Mortalité Fem'!$C$1:$AH$1,'Liste quot persp Mortalité Fem'!$C4:$AH4)</f>
        <v>0</v>
      </c>
      <c r="K28" s="23">
        <f>LOOKUP('Hypothèses et Graphiques'!L$5,'Liste quot persp Mortalité Fem'!$C$1:$AH$1,'Liste quot persp Mortalité Fem'!$C4:$AH4)</f>
        <v>0</v>
      </c>
      <c r="L28" s="23">
        <f>LOOKUP('Hypothèses et Graphiques'!M$5,'Liste quot persp Mortalité Fem'!$C$1:$AH$1,'Liste quot persp Mortalité Fem'!$C4:$AH4)</f>
        <v>0</v>
      </c>
      <c r="M28" s="23">
        <f>LOOKUP('Hypothèses et Graphiques'!N$5,'Liste quot persp Mortalité Fem'!$C$1:$AH$1,'Liste quot persp Mortalité Fem'!$C4:$AH4)</f>
        <v>0</v>
      </c>
      <c r="N28" s="23">
        <f>LOOKUP('Hypothèses et Graphiques'!O$5,'Liste quot persp Mortalité Fem'!$C$1:$AH$1,'Liste quot persp Mortalité Fem'!$C4:$AH4)</f>
        <v>0</v>
      </c>
      <c r="O28" s="23">
        <f>LOOKUP('Hypothèses et Graphiques'!P$5,'Liste quot persp Mortalité Fem'!$C$1:$AH$1,'Liste quot persp Mortalité Fem'!$C4:$AH4)</f>
        <v>0</v>
      </c>
      <c r="P28" s="23">
        <f>LOOKUP('Hypothèses et Graphiques'!Q$5,'Liste quot persp Mortalité Fem'!$C$1:$AH$1,'Liste quot persp Mortalité Fem'!$C4:$AH4)</f>
        <v>0</v>
      </c>
      <c r="Q28" s="23">
        <f>LOOKUP('Hypothèses et Graphiques'!R$5,'Liste quot persp Mortalité Fem'!$C$1:$AH$1,'Liste quot persp Mortalité Fem'!$C4:$AH4)</f>
        <v>0</v>
      </c>
      <c r="R28" s="23">
        <f>LOOKUP('Hypothèses et Graphiques'!S$5,'Liste quot persp Mortalité Fem'!$C$1:$AH$1,'Liste quot persp Mortalité Fem'!$C4:$AH4)</f>
        <v>0</v>
      </c>
      <c r="S28" s="23">
        <f>LOOKUP('Hypothèses et Graphiques'!T$5,'Liste quot persp Mortalité Fem'!$C$1:$AH$1,'Liste quot persp Mortalité Fem'!$C4:$AH4)</f>
        <v>0</v>
      </c>
    </row>
    <row r="29" spans="1:19" x14ac:dyDescent="0.25">
      <c r="A29" s="5" t="s">
        <v>9</v>
      </c>
      <c r="B29" s="5" t="s">
        <v>0</v>
      </c>
      <c r="C29" s="23">
        <f>LOOKUP('Hypothèses et Graphiques'!D$5,'Liste quot persp Mortalité Fem'!$C$1:$AH$1,'Liste quot persp Mortalité Fem'!$C5:$AH5)</f>
        <v>0</v>
      </c>
      <c r="D29" s="23">
        <f>LOOKUP('Hypothèses et Graphiques'!E$5,'Liste quot persp Mortalité Fem'!$C$1:$AH$1,'Liste quot persp Mortalité Fem'!$C5:$AH5)</f>
        <v>0</v>
      </c>
      <c r="E29" s="23">
        <f>LOOKUP('Hypothèses et Graphiques'!F$5,'Liste quot persp Mortalité Fem'!$C$1:$AH$1,'Liste quot persp Mortalité Fem'!$C5:$AH5)</f>
        <v>0</v>
      </c>
      <c r="F29" s="23">
        <f>LOOKUP('Hypothèses et Graphiques'!G$5,'Liste quot persp Mortalité Fem'!$C$1:$AH$1,'Liste quot persp Mortalité Fem'!$C5:$AH5)</f>
        <v>0</v>
      </c>
      <c r="G29" s="23">
        <f>LOOKUP('Hypothèses et Graphiques'!H$5,'Liste quot persp Mortalité Fem'!$C$1:$AH$1,'Liste quot persp Mortalité Fem'!$C5:$AH5)</f>
        <v>0</v>
      </c>
      <c r="H29" s="23">
        <f>LOOKUP('Hypothèses et Graphiques'!I$5,'Liste quot persp Mortalité Fem'!$C$1:$AH$1,'Liste quot persp Mortalité Fem'!$C5:$AH5)</f>
        <v>0</v>
      </c>
      <c r="I29" s="23">
        <f>LOOKUP('Hypothèses et Graphiques'!J$5,'Liste quot persp Mortalité Fem'!$C$1:$AH$1,'Liste quot persp Mortalité Fem'!$C5:$AH5)</f>
        <v>0</v>
      </c>
      <c r="J29" s="23">
        <f>LOOKUP('Hypothèses et Graphiques'!K$5,'Liste quot persp Mortalité Fem'!$C$1:$AH$1,'Liste quot persp Mortalité Fem'!$C5:$AH5)</f>
        <v>0</v>
      </c>
      <c r="K29" s="23">
        <f>LOOKUP('Hypothèses et Graphiques'!L$5,'Liste quot persp Mortalité Fem'!$C$1:$AH$1,'Liste quot persp Mortalité Fem'!$C5:$AH5)</f>
        <v>0</v>
      </c>
      <c r="L29" s="23">
        <f>LOOKUP('Hypothèses et Graphiques'!M$5,'Liste quot persp Mortalité Fem'!$C$1:$AH$1,'Liste quot persp Mortalité Fem'!$C5:$AH5)</f>
        <v>0</v>
      </c>
      <c r="M29" s="23">
        <f>LOOKUP('Hypothèses et Graphiques'!N$5,'Liste quot persp Mortalité Fem'!$C$1:$AH$1,'Liste quot persp Mortalité Fem'!$C5:$AH5)</f>
        <v>0</v>
      </c>
      <c r="N29" s="23">
        <f>LOOKUP('Hypothèses et Graphiques'!O$5,'Liste quot persp Mortalité Fem'!$C$1:$AH$1,'Liste quot persp Mortalité Fem'!$C5:$AH5)</f>
        <v>0</v>
      </c>
      <c r="O29" s="23">
        <f>LOOKUP('Hypothèses et Graphiques'!P$5,'Liste quot persp Mortalité Fem'!$C$1:$AH$1,'Liste quot persp Mortalité Fem'!$C5:$AH5)</f>
        <v>0</v>
      </c>
      <c r="P29" s="23">
        <f>LOOKUP('Hypothèses et Graphiques'!Q$5,'Liste quot persp Mortalité Fem'!$C$1:$AH$1,'Liste quot persp Mortalité Fem'!$C5:$AH5)</f>
        <v>0</v>
      </c>
      <c r="Q29" s="23">
        <f>LOOKUP('Hypothèses et Graphiques'!R$5,'Liste quot persp Mortalité Fem'!$C$1:$AH$1,'Liste quot persp Mortalité Fem'!$C5:$AH5)</f>
        <v>0</v>
      </c>
      <c r="R29" s="23">
        <f>LOOKUP('Hypothèses et Graphiques'!S$5,'Liste quot persp Mortalité Fem'!$C$1:$AH$1,'Liste quot persp Mortalité Fem'!$C5:$AH5)</f>
        <v>0</v>
      </c>
      <c r="S29" s="23">
        <f>LOOKUP('Hypothèses et Graphiques'!T$5,'Liste quot persp Mortalité Fem'!$C$1:$AH$1,'Liste quot persp Mortalité Fem'!$C5:$AH5)</f>
        <v>0</v>
      </c>
    </row>
    <row r="30" spans="1:19" x14ac:dyDescent="0.25">
      <c r="A30" s="5" t="s">
        <v>0</v>
      </c>
      <c r="B30" s="5" t="s">
        <v>1</v>
      </c>
      <c r="C30" s="23">
        <f>LOOKUP('Hypothèses et Graphiques'!D$5,'Liste quot persp Mortalité Fem'!$C$1:$AH$1,'Liste quot persp Mortalité Fem'!$C6:$AH6)</f>
        <v>0</v>
      </c>
      <c r="D30" s="23">
        <f>LOOKUP('Hypothèses et Graphiques'!E$5,'Liste quot persp Mortalité Fem'!$C$1:$AH$1,'Liste quot persp Mortalité Fem'!$C6:$AH6)</f>
        <v>0</v>
      </c>
      <c r="E30" s="23">
        <f>LOOKUP('Hypothèses et Graphiques'!F$5,'Liste quot persp Mortalité Fem'!$C$1:$AH$1,'Liste quot persp Mortalité Fem'!$C6:$AH6)</f>
        <v>0</v>
      </c>
      <c r="F30" s="23">
        <f>LOOKUP('Hypothèses et Graphiques'!G$5,'Liste quot persp Mortalité Fem'!$C$1:$AH$1,'Liste quot persp Mortalité Fem'!$C6:$AH6)</f>
        <v>0</v>
      </c>
      <c r="G30" s="23">
        <f>LOOKUP('Hypothèses et Graphiques'!H$5,'Liste quot persp Mortalité Fem'!$C$1:$AH$1,'Liste quot persp Mortalité Fem'!$C6:$AH6)</f>
        <v>0</v>
      </c>
      <c r="H30" s="23">
        <f>LOOKUP('Hypothèses et Graphiques'!I$5,'Liste quot persp Mortalité Fem'!$C$1:$AH$1,'Liste quot persp Mortalité Fem'!$C6:$AH6)</f>
        <v>0</v>
      </c>
      <c r="I30" s="23">
        <f>LOOKUP('Hypothèses et Graphiques'!J$5,'Liste quot persp Mortalité Fem'!$C$1:$AH$1,'Liste quot persp Mortalité Fem'!$C6:$AH6)</f>
        <v>0</v>
      </c>
      <c r="J30" s="23">
        <f>LOOKUP('Hypothèses et Graphiques'!K$5,'Liste quot persp Mortalité Fem'!$C$1:$AH$1,'Liste quot persp Mortalité Fem'!$C6:$AH6)</f>
        <v>0</v>
      </c>
      <c r="K30" s="23">
        <f>LOOKUP('Hypothèses et Graphiques'!L$5,'Liste quot persp Mortalité Fem'!$C$1:$AH$1,'Liste quot persp Mortalité Fem'!$C6:$AH6)</f>
        <v>0</v>
      </c>
      <c r="L30" s="23">
        <f>LOOKUP('Hypothèses et Graphiques'!M$5,'Liste quot persp Mortalité Fem'!$C$1:$AH$1,'Liste quot persp Mortalité Fem'!$C6:$AH6)</f>
        <v>0</v>
      </c>
      <c r="M30" s="23">
        <f>LOOKUP('Hypothèses et Graphiques'!N$5,'Liste quot persp Mortalité Fem'!$C$1:$AH$1,'Liste quot persp Mortalité Fem'!$C6:$AH6)</f>
        <v>0</v>
      </c>
      <c r="N30" s="23">
        <f>LOOKUP('Hypothèses et Graphiques'!O$5,'Liste quot persp Mortalité Fem'!$C$1:$AH$1,'Liste quot persp Mortalité Fem'!$C6:$AH6)</f>
        <v>0</v>
      </c>
      <c r="O30" s="23">
        <f>LOOKUP('Hypothèses et Graphiques'!P$5,'Liste quot persp Mortalité Fem'!$C$1:$AH$1,'Liste quot persp Mortalité Fem'!$C6:$AH6)</f>
        <v>0</v>
      </c>
      <c r="P30" s="23">
        <f>LOOKUP('Hypothèses et Graphiques'!Q$5,'Liste quot persp Mortalité Fem'!$C$1:$AH$1,'Liste quot persp Mortalité Fem'!$C6:$AH6)</f>
        <v>0</v>
      </c>
      <c r="Q30" s="23">
        <f>LOOKUP('Hypothèses et Graphiques'!R$5,'Liste quot persp Mortalité Fem'!$C$1:$AH$1,'Liste quot persp Mortalité Fem'!$C6:$AH6)</f>
        <v>0</v>
      </c>
      <c r="R30" s="23">
        <f>LOOKUP('Hypothèses et Graphiques'!S$5,'Liste quot persp Mortalité Fem'!$C$1:$AH$1,'Liste quot persp Mortalité Fem'!$C6:$AH6)</f>
        <v>0</v>
      </c>
      <c r="S30" s="23">
        <f>LOOKUP('Hypothèses et Graphiques'!T$5,'Liste quot persp Mortalité Fem'!$C$1:$AH$1,'Liste quot persp Mortalité Fem'!$C6:$AH6)</f>
        <v>0</v>
      </c>
    </row>
    <row r="31" spans="1:19" x14ac:dyDescent="0.25">
      <c r="A31" s="5" t="s">
        <v>1</v>
      </c>
      <c r="B31" s="5" t="s">
        <v>2</v>
      </c>
      <c r="C31" s="23">
        <f>LOOKUP('Hypothèses et Graphiques'!D$5,'Liste quot persp Mortalité Fem'!$C$1:$AH$1,'Liste quot persp Mortalité Fem'!$C7:$AH7)</f>
        <v>0</v>
      </c>
      <c r="D31" s="23">
        <f>LOOKUP('Hypothèses et Graphiques'!E$5,'Liste quot persp Mortalité Fem'!$C$1:$AH$1,'Liste quot persp Mortalité Fem'!$C7:$AH7)</f>
        <v>0</v>
      </c>
      <c r="E31" s="23">
        <f>LOOKUP('Hypothèses et Graphiques'!F$5,'Liste quot persp Mortalité Fem'!$C$1:$AH$1,'Liste quot persp Mortalité Fem'!$C7:$AH7)</f>
        <v>0</v>
      </c>
      <c r="F31" s="23">
        <f>LOOKUP('Hypothèses et Graphiques'!G$5,'Liste quot persp Mortalité Fem'!$C$1:$AH$1,'Liste quot persp Mortalité Fem'!$C7:$AH7)</f>
        <v>0</v>
      </c>
      <c r="G31" s="23">
        <f>LOOKUP('Hypothèses et Graphiques'!H$5,'Liste quot persp Mortalité Fem'!$C$1:$AH$1,'Liste quot persp Mortalité Fem'!$C7:$AH7)</f>
        <v>0</v>
      </c>
      <c r="H31" s="23">
        <f>LOOKUP('Hypothèses et Graphiques'!I$5,'Liste quot persp Mortalité Fem'!$C$1:$AH$1,'Liste quot persp Mortalité Fem'!$C7:$AH7)</f>
        <v>0</v>
      </c>
      <c r="I31" s="23">
        <f>LOOKUP('Hypothèses et Graphiques'!J$5,'Liste quot persp Mortalité Fem'!$C$1:$AH$1,'Liste quot persp Mortalité Fem'!$C7:$AH7)</f>
        <v>0</v>
      </c>
      <c r="J31" s="23">
        <f>LOOKUP('Hypothèses et Graphiques'!K$5,'Liste quot persp Mortalité Fem'!$C$1:$AH$1,'Liste quot persp Mortalité Fem'!$C7:$AH7)</f>
        <v>0</v>
      </c>
      <c r="K31" s="23">
        <f>LOOKUP('Hypothèses et Graphiques'!L$5,'Liste quot persp Mortalité Fem'!$C$1:$AH$1,'Liste quot persp Mortalité Fem'!$C7:$AH7)</f>
        <v>0</v>
      </c>
      <c r="L31" s="23">
        <f>LOOKUP('Hypothèses et Graphiques'!M$5,'Liste quot persp Mortalité Fem'!$C$1:$AH$1,'Liste quot persp Mortalité Fem'!$C7:$AH7)</f>
        <v>0</v>
      </c>
      <c r="M31" s="23">
        <f>LOOKUP('Hypothèses et Graphiques'!N$5,'Liste quot persp Mortalité Fem'!$C$1:$AH$1,'Liste quot persp Mortalité Fem'!$C7:$AH7)</f>
        <v>0</v>
      </c>
      <c r="N31" s="23">
        <f>LOOKUP('Hypothèses et Graphiques'!O$5,'Liste quot persp Mortalité Fem'!$C$1:$AH$1,'Liste quot persp Mortalité Fem'!$C7:$AH7)</f>
        <v>0</v>
      </c>
      <c r="O31" s="23">
        <f>LOOKUP('Hypothèses et Graphiques'!P$5,'Liste quot persp Mortalité Fem'!$C$1:$AH$1,'Liste quot persp Mortalité Fem'!$C7:$AH7)</f>
        <v>0</v>
      </c>
      <c r="P31" s="23">
        <f>LOOKUP('Hypothèses et Graphiques'!Q$5,'Liste quot persp Mortalité Fem'!$C$1:$AH$1,'Liste quot persp Mortalité Fem'!$C7:$AH7)</f>
        <v>0</v>
      </c>
      <c r="Q31" s="23">
        <f>LOOKUP('Hypothèses et Graphiques'!R$5,'Liste quot persp Mortalité Fem'!$C$1:$AH$1,'Liste quot persp Mortalité Fem'!$C7:$AH7)</f>
        <v>0</v>
      </c>
      <c r="R31" s="23">
        <f>LOOKUP('Hypothèses et Graphiques'!S$5,'Liste quot persp Mortalité Fem'!$C$1:$AH$1,'Liste quot persp Mortalité Fem'!$C7:$AH7)</f>
        <v>0</v>
      </c>
      <c r="S31" s="23">
        <f>LOOKUP('Hypothèses et Graphiques'!T$5,'Liste quot persp Mortalité Fem'!$C$1:$AH$1,'Liste quot persp Mortalité Fem'!$C7:$AH7)</f>
        <v>0</v>
      </c>
    </row>
    <row r="32" spans="1:19" x14ac:dyDescent="0.25">
      <c r="A32" s="5" t="s">
        <v>2</v>
      </c>
      <c r="B32" s="5" t="s">
        <v>3</v>
      </c>
      <c r="C32" s="23">
        <f>LOOKUP('Hypothèses et Graphiques'!D$5,'Liste quot persp Mortalité Fem'!$C$1:$AH$1,'Liste quot persp Mortalité Fem'!$C8:$AH8)</f>
        <v>0</v>
      </c>
      <c r="D32" s="23">
        <f>LOOKUP('Hypothèses et Graphiques'!E$5,'Liste quot persp Mortalité Fem'!$C$1:$AH$1,'Liste quot persp Mortalité Fem'!$C8:$AH8)</f>
        <v>0</v>
      </c>
      <c r="E32" s="23">
        <f>LOOKUP('Hypothèses et Graphiques'!F$5,'Liste quot persp Mortalité Fem'!$C$1:$AH$1,'Liste quot persp Mortalité Fem'!$C8:$AH8)</f>
        <v>0</v>
      </c>
      <c r="F32" s="23">
        <f>LOOKUP('Hypothèses et Graphiques'!G$5,'Liste quot persp Mortalité Fem'!$C$1:$AH$1,'Liste quot persp Mortalité Fem'!$C8:$AH8)</f>
        <v>0</v>
      </c>
      <c r="G32" s="23">
        <f>LOOKUP('Hypothèses et Graphiques'!H$5,'Liste quot persp Mortalité Fem'!$C$1:$AH$1,'Liste quot persp Mortalité Fem'!$C8:$AH8)</f>
        <v>0</v>
      </c>
      <c r="H32" s="23">
        <f>LOOKUP('Hypothèses et Graphiques'!I$5,'Liste quot persp Mortalité Fem'!$C$1:$AH$1,'Liste quot persp Mortalité Fem'!$C8:$AH8)</f>
        <v>0</v>
      </c>
      <c r="I32" s="23">
        <f>LOOKUP('Hypothèses et Graphiques'!J$5,'Liste quot persp Mortalité Fem'!$C$1:$AH$1,'Liste quot persp Mortalité Fem'!$C8:$AH8)</f>
        <v>0</v>
      </c>
      <c r="J32" s="23">
        <f>LOOKUP('Hypothèses et Graphiques'!K$5,'Liste quot persp Mortalité Fem'!$C$1:$AH$1,'Liste quot persp Mortalité Fem'!$C8:$AH8)</f>
        <v>0</v>
      </c>
      <c r="K32" s="23">
        <f>LOOKUP('Hypothèses et Graphiques'!L$5,'Liste quot persp Mortalité Fem'!$C$1:$AH$1,'Liste quot persp Mortalité Fem'!$C8:$AH8)</f>
        <v>0</v>
      </c>
      <c r="L32" s="23">
        <f>LOOKUP('Hypothèses et Graphiques'!M$5,'Liste quot persp Mortalité Fem'!$C$1:$AH$1,'Liste quot persp Mortalité Fem'!$C8:$AH8)</f>
        <v>0</v>
      </c>
      <c r="M32" s="23">
        <f>LOOKUP('Hypothèses et Graphiques'!N$5,'Liste quot persp Mortalité Fem'!$C$1:$AH$1,'Liste quot persp Mortalité Fem'!$C8:$AH8)</f>
        <v>0</v>
      </c>
      <c r="N32" s="23">
        <f>LOOKUP('Hypothèses et Graphiques'!O$5,'Liste quot persp Mortalité Fem'!$C$1:$AH$1,'Liste quot persp Mortalité Fem'!$C8:$AH8)</f>
        <v>0</v>
      </c>
      <c r="O32" s="23">
        <f>LOOKUP('Hypothèses et Graphiques'!P$5,'Liste quot persp Mortalité Fem'!$C$1:$AH$1,'Liste quot persp Mortalité Fem'!$C8:$AH8)</f>
        <v>0</v>
      </c>
      <c r="P32" s="23">
        <f>LOOKUP('Hypothèses et Graphiques'!Q$5,'Liste quot persp Mortalité Fem'!$C$1:$AH$1,'Liste quot persp Mortalité Fem'!$C8:$AH8)</f>
        <v>0</v>
      </c>
      <c r="Q32" s="23">
        <f>LOOKUP('Hypothèses et Graphiques'!R$5,'Liste quot persp Mortalité Fem'!$C$1:$AH$1,'Liste quot persp Mortalité Fem'!$C8:$AH8)</f>
        <v>0</v>
      </c>
      <c r="R32" s="23">
        <f>LOOKUP('Hypothèses et Graphiques'!S$5,'Liste quot persp Mortalité Fem'!$C$1:$AH$1,'Liste quot persp Mortalité Fem'!$C8:$AH8)</f>
        <v>0</v>
      </c>
      <c r="S32" s="23">
        <f>LOOKUP('Hypothèses et Graphiques'!T$5,'Liste quot persp Mortalité Fem'!$C$1:$AH$1,'Liste quot persp Mortalité Fem'!$C8:$AH8)</f>
        <v>0</v>
      </c>
    </row>
    <row r="33" spans="1:19" x14ac:dyDescent="0.25">
      <c r="A33" s="5" t="s">
        <v>3</v>
      </c>
      <c r="B33" s="5" t="s">
        <v>4</v>
      </c>
      <c r="C33" s="23">
        <f>LOOKUP('Hypothèses et Graphiques'!D$5,'Liste quot persp Mortalité Fem'!$C$1:$AH$1,'Liste quot persp Mortalité Fem'!$C9:$AH9)</f>
        <v>0</v>
      </c>
      <c r="D33" s="23">
        <f>LOOKUP('Hypothèses et Graphiques'!E$5,'Liste quot persp Mortalité Fem'!$C$1:$AH$1,'Liste quot persp Mortalité Fem'!$C9:$AH9)</f>
        <v>0</v>
      </c>
      <c r="E33" s="23">
        <f>LOOKUP('Hypothèses et Graphiques'!F$5,'Liste quot persp Mortalité Fem'!$C$1:$AH$1,'Liste quot persp Mortalité Fem'!$C9:$AH9)</f>
        <v>0</v>
      </c>
      <c r="F33" s="23">
        <f>LOOKUP('Hypothèses et Graphiques'!G$5,'Liste quot persp Mortalité Fem'!$C$1:$AH$1,'Liste quot persp Mortalité Fem'!$C9:$AH9)</f>
        <v>0</v>
      </c>
      <c r="G33" s="23">
        <f>LOOKUP('Hypothèses et Graphiques'!H$5,'Liste quot persp Mortalité Fem'!$C$1:$AH$1,'Liste quot persp Mortalité Fem'!$C9:$AH9)</f>
        <v>0</v>
      </c>
      <c r="H33" s="23">
        <f>LOOKUP('Hypothèses et Graphiques'!I$5,'Liste quot persp Mortalité Fem'!$C$1:$AH$1,'Liste quot persp Mortalité Fem'!$C9:$AH9)</f>
        <v>0</v>
      </c>
      <c r="I33" s="23">
        <f>LOOKUP('Hypothèses et Graphiques'!J$5,'Liste quot persp Mortalité Fem'!$C$1:$AH$1,'Liste quot persp Mortalité Fem'!$C9:$AH9)</f>
        <v>0</v>
      </c>
      <c r="J33" s="23">
        <f>LOOKUP('Hypothèses et Graphiques'!K$5,'Liste quot persp Mortalité Fem'!$C$1:$AH$1,'Liste quot persp Mortalité Fem'!$C9:$AH9)</f>
        <v>0</v>
      </c>
      <c r="K33" s="23">
        <f>LOOKUP('Hypothèses et Graphiques'!L$5,'Liste quot persp Mortalité Fem'!$C$1:$AH$1,'Liste quot persp Mortalité Fem'!$C9:$AH9)</f>
        <v>0</v>
      </c>
      <c r="L33" s="23">
        <f>LOOKUP('Hypothèses et Graphiques'!M$5,'Liste quot persp Mortalité Fem'!$C$1:$AH$1,'Liste quot persp Mortalité Fem'!$C9:$AH9)</f>
        <v>0</v>
      </c>
      <c r="M33" s="23">
        <f>LOOKUP('Hypothèses et Graphiques'!N$5,'Liste quot persp Mortalité Fem'!$C$1:$AH$1,'Liste quot persp Mortalité Fem'!$C9:$AH9)</f>
        <v>0</v>
      </c>
      <c r="N33" s="23">
        <f>LOOKUP('Hypothèses et Graphiques'!O$5,'Liste quot persp Mortalité Fem'!$C$1:$AH$1,'Liste quot persp Mortalité Fem'!$C9:$AH9)</f>
        <v>0</v>
      </c>
      <c r="O33" s="23">
        <f>LOOKUP('Hypothèses et Graphiques'!P$5,'Liste quot persp Mortalité Fem'!$C$1:$AH$1,'Liste quot persp Mortalité Fem'!$C9:$AH9)</f>
        <v>0</v>
      </c>
      <c r="P33" s="23">
        <f>LOOKUP('Hypothèses et Graphiques'!Q$5,'Liste quot persp Mortalité Fem'!$C$1:$AH$1,'Liste quot persp Mortalité Fem'!$C9:$AH9)</f>
        <v>0</v>
      </c>
      <c r="Q33" s="23">
        <f>LOOKUP('Hypothèses et Graphiques'!R$5,'Liste quot persp Mortalité Fem'!$C$1:$AH$1,'Liste quot persp Mortalité Fem'!$C9:$AH9)</f>
        <v>0</v>
      </c>
      <c r="R33" s="23">
        <f>LOOKUP('Hypothèses et Graphiques'!S$5,'Liste quot persp Mortalité Fem'!$C$1:$AH$1,'Liste quot persp Mortalité Fem'!$C9:$AH9)</f>
        <v>0</v>
      </c>
      <c r="S33" s="23">
        <f>LOOKUP('Hypothèses et Graphiques'!T$5,'Liste quot persp Mortalité Fem'!$C$1:$AH$1,'Liste quot persp Mortalité Fem'!$C9:$AH9)</f>
        <v>0</v>
      </c>
    </row>
    <row r="34" spans="1:19" x14ac:dyDescent="0.25">
      <c r="A34" s="5" t="s">
        <v>4</v>
      </c>
      <c r="B34" s="5" t="s">
        <v>5</v>
      </c>
      <c r="C34" s="23">
        <f>LOOKUP('Hypothèses et Graphiques'!D$5,'Liste quot persp Mortalité Fem'!$C$1:$AH$1,'Liste quot persp Mortalité Fem'!$C10:$AH10)</f>
        <v>0</v>
      </c>
      <c r="D34" s="23">
        <f>LOOKUP('Hypothèses et Graphiques'!E$5,'Liste quot persp Mortalité Fem'!$C$1:$AH$1,'Liste quot persp Mortalité Fem'!$C10:$AH10)</f>
        <v>0</v>
      </c>
      <c r="E34" s="23">
        <f>LOOKUP('Hypothèses et Graphiques'!F$5,'Liste quot persp Mortalité Fem'!$C$1:$AH$1,'Liste quot persp Mortalité Fem'!$C10:$AH10)</f>
        <v>0</v>
      </c>
      <c r="F34" s="23">
        <f>LOOKUP('Hypothèses et Graphiques'!G$5,'Liste quot persp Mortalité Fem'!$C$1:$AH$1,'Liste quot persp Mortalité Fem'!$C10:$AH10)</f>
        <v>0</v>
      </c>
      <c r="G34" s="23">
        <f>LOOKUP('Hypothèses et Graphiques'!H$5,'Liste quot persp Mortalité Fem'!$C$1:$AH$1,'Liste quot persp Mortalité Fem'!$C10:$AH10)</f>
        <v>0</v>
      </c>
      <c r="H34" s="23">
        <f>LOOKUP('Hypothèses et Graphiques'!I$5,'Liste quot persp Mortalité Fem'!$C$1:$AH$1,'Liste quot persp Mortalité Fem'!$C10:$AH10)</f>
        <v>0</v>
      </c>
      <c r="I34" s="23">
        <f>LOOKUP('Hypothèses et Graphiques'!J$5,'Liste quot persp Mortalité Fem'!$C$1:$AH$1,'Liste quot persp Mortalité Fem'!$C10:$AH10)</f>
        <v>0</v>
      </c>
      <c r="J34" s="23">
        <f>LOOKUP('Hypothèses et Graphiques'!K$5,'Liste quot persp Mortalité Fem'!$C$1:$AH$1,'Liste quot persp Mortalité Fem'!$C10:$AH10)</f>
        <v>0</v>
      </c>
      <c r="K34" s="23">
        <f>LOOKUP('Hypothèses et Graphiques'!L$5,'Liste quot persp Mortalité Fem'!$C$1:$AH$1,'Liste quot persp Mortalité Fem'!$C10:$AH10)</f>
        <v>0</v>
      </c>
      <c r="L34" s="23">
        <f>LOOKUP('Hypothèses et Graphiques'!M$5,'Liste quot persp Mortalité Fem'!$C$1:$AH$1,'Liste quot persp Mortalité Fem'!$C10:$AH10)</f>
        <v>0</v>
      </c>
      <c r="M34" s="23">
        <f>LOOKUP('Hypothèses et Graphiques'!N$5,'Liste quot persp Mortalité Fem'!$C$1:$AH$1,'Liste quot persp Mortalité Fem'!$C10:$AH10)</f>
        <v>0</v>
      </c>
      <c r="N34" s="23">
        <f>LOOKUP('Hypothèses et Graphiques'!O$5,'Liste quot persp Mortalité Fem'!$C$1:$AH$1,'Liste quot persp Mortalité Fem'!$C10:$AH10)</f>
        <v>0</v>
      </c>
      <c r="O34" s="23">
        <f>LOOKUP('Hypothèses et Graphiques'!P$5,'Liste quot persp Mortalité Fem'!$C$1:$AH$1,'Liste quot persp Mortalité Fem'!$C10:$AH10)</f>
        <v>0</v>
      </c>
      <c r="P34" s="23">
        <f>LOOKUP('Hypothèses et Graphiques'!Q$5,'Liste quot persp Mortalité Fem'!$C$1:$AH$1,'Liste quot persp Mortalité Fem'!$C10:$AH10)</f>
        <v>0</v>
      </c>
      <c r="Q34" s="23">
        <f>LOOKUP('Hypothèses et Graphiques'!R$5,'Liste quot persp Mortalité Fem'!$C$1:$AH$1,'Liste quot persp Mortalité Fem'!$C10:$AH10)</f>
        <v>0</v>
      </c>
      <c r="R34" s="23">
        <f>LOOKUP('Hypothèses et Graphiques'!S$5,'Liste quot persp Mortalité Fem'!$C$1:$AH$1,'Liste quot persp Mortalité Fem'!$C10:$AH10)</f>
        <v>0</v>
      </c>
      <c r="S34" s="23">
        <f>LOOKUP('Hypothèses et Graphiques'!T$5,'Liste quot persp Mortalité Fem'!$C$1:$AH$1,'Liste quot persp Mortalité Fem'!$C10:$AH10)</f>
        <v>0</v>
      </c>
    </row>
    <row r="35" spans="1:19" x14ac:dyDescent="0.25">
      <c r="A35" s="5" t="s">
        <v>5</v>
      </c>
      <c r="B35" s="5" t="s">
        <v>6</v>
      </c>
      <c r="C35" s="23">
        <f>LOOKUP('Hypothèses et Graphiques'!D$5,'Liste quot persp Mortalité Fem'!$C$1:$AH$1,'Liste quot persp Mortalité Fem'!$C11:$AH11)</f>
        <v>0</v>
      </c>
      <c r="D35" s="23">
        <f>LOOKUP('Hypothèses et Graphiques'!E$5,'Liste quot persp Mortalité Fem'!$C$1:$AH$1,'Liste quot persp Mortalité Fem'!$C11:$AH11)</f>
        <v>0</v>
      </c>
      <c r="E35" s="23">
        <f>LOOKUP('Hypothèses et Graphiques'!F$5,'Liste quot persp Mortalité Fem'!$C$1:$AH$1,'Liste quot persp Mortalité Fem'!$C11:$AH11)</f>
        <v>0</v>
      </c>
      <c r="F35" s="23">
        <f>LOOKUP('Hypothèses et Graphiques'!G$5,'Liste quot persp Mortalité Fem'!$C$1:$AH$1,'Liste quot persp Mortalité Fem'!$C11:$AH11)</f>
        <v>0</v>
      </c>
      <c r="G35" s="23">
        <f>LOOKUP('Hypothèses et Graphiques'!H$5,'Liste quot persp Mortalité Fem'!$C$1:$AH$1,'Liste quot persp Mortalité Fem'!$C11:$AH11)</f>
        <v>0</v>
      </c>
      <c r="H35" s="23">
        <f>LOOKUP('Hypothèses et Graphiques'!I$5,'Liste quot persp Mortalité Fem'!$C$1:$AH$1,'Liste quot persp Mortalité Fem'!$C11:$AH11)</f>
        <v>0</v>
      </c>
      <c r="I35" s="23">
        <f>LOOKUP('Hypothèses et Graphiques'!J$5,'Liste quot persp Mortalité Fem'!$C$1:$AH$1,'Liste quot persp Mortalité Fem'!$C11:$AH11)</f>
        <v>0</v>
      </c>
      <c r="J35" s="23">
        <f>LOOKUP('Hypothèses et Graphiques'!K$5,'Liste quot persp Mortalité Fem'!$C$1:$AH$1,'Liste quot persp Mortalité Fem'!$C11:$AH11)</f>
        <v>0</v>
      </c>
      <c r="K35" s="23">
        <f>LOOKUP('Hypothèses et Graphiques'!L$5,'Liste quot persp Mortalité Fem'!$C$1:$AH$1,'Liste quot persp Mortalité Fem'!$C11:$AH11)</f>
        <v>0</v>
      </c>
      <c r="L35" s="23">
        <f>LOOKUP('Hypothèses et Graphiques'!M$5,'Liste quot persp Mortalité Fem'!$C$1:$AH$1,'Liste quot persp Mortalité Fem'!$C11:$AH11)</f>
        <v>0</v>
      </c>
      <c r="M35" s="23">
        <f>LOOKUP('Hypothèses et Graphiques'!N$5,'Liste quot persp Mortalité Fem'!$C$1:$AH$1,'Liste quot persp Mortalité Fem'!$C11:$AH11)</f>
        <v>0</v>
      </c>
      <c r="N35" s="23">
        <f>LOOKUP('Hypothèses et Graphiques'!O$5,'Liste quot persp Mortalité Fem'!$C$1:$AH$1,'Liste quot persp Mortalité Fem'!$C11:$AH11)</f>
        <v>0</v>
      </c>
      <c r="O35" s="23">
        <f>LOOKUP('Hypothèses et Graphiques'!P$5,'Liste quot persp Mortalité Fem'!$C$1:$AH$1,'Liste quot persp Mortalité Fem'!$C11:$AH11)</f>
        <v>0</v>
      </c>
      <c r="P35" s="23">
        <f>LOOKUP('Hypothèses et Graphiques'!Q$5,'Liste quot persp Mortalité Fem'!$C$1:$AH$1,'Liste quot persp Mortalité Fem'!$C11:$AH11)</f>
        <v>0</v>
      </c>
      <c r="Q35" s="23">
        <f>LOOKUP('Hypothèses et Graphiques'!R$5,'Liste quot persp Mortalité Fem'!$C$1:$AH$1,'Liste quot persp Mortalité Fem'!$C11:$AH11)</f>
        <v>0</v>
      </c>
      <c r="R35" s="23">
        <f>LOOKUP('Hypothèses et Graphiques'!S$5,'Liste quot persp Mortalité Fem'!$C$1:$AH$1,'Liste quot persp Mortalité Fem'!$C11:$AH11)</f>
        <v>0</v>
      </c>
      <c r="S35" s="23">
        <f>LOOKUP('Hypothèses et Graphiques'!T$5,'Liste quot persp Mortalité Fem'!$C$1:$AH$1,'Liste quot persp Mortalité Fem'!$C11:$AH11)</f>
        <v>0</v>
      </c>
    </row>
    <row r="36" spans="1:19" x14ac:dyDescent="0.25">
      <c r="A36" s="5" t="s">
        <v>6</v>
      </c>
      <c r="B36" s="5" t="s">
        <v>10</v>
      </c>
      <c r="C36" s="23">
        <f>LOOKUP('Hypothèses et Graphiques'!D$5,'Liste quot persp Mortalité Fem'!$C$1:$AH$1,'Liste quot persp Mortalité Fem'!$C12:$AH12)</f>
        <v>0</v>
      </c>
      <c r="D36" s="23">
        <f>LOOKUP('Hypothèses et Graphiques'!E$5,'Liste quot persp Mortalité Fem'!$C$1:$AH$1,'Liste quot persp Mortalité Fem'!$C12:$AH12)</f>
        <v>0</v>
      </c>
      <c r="E36" s="23">
        <f>LOOKUP('Hypothèses et Graphiques'!F$5,'Liste quot persp Mortalité Fem'!$C$1:$AH$1,'Liste quot persp Mortalité Fem'!$C12:$AH12)</f>
        <v>0</v>
      </c>
      <c r="F36" s="23">
        <f>LOOKUP('Hypothèses et Graphiques'!G$5,'Liste quot persp Mortalité Fem'!$C$1:$AH$1,'Liste quot persp Mortalité Fem'!$C12:$AH12)</f>
        <v>0</v>
      </c>
      <c r="G36" s="23">
        <f>LOOKUP('Hypothèses et Graphiques'!H$5,'Liste quot persp Mortalité Fem'!$C$1:$AH$1,'Liste quot persp Mortalité Fem'!$C12:$AH12)</f>
        <v>0</v>
      </c>
      <c r="H36" s="23">
        <f>LOOKUP('Hypothèses et Graphiques'!I$5,'Liste quot persp Mortalité Fem'!$C$1:$AH$1,'Liste quot persp Mortalité Fem'!$C12:$AH12)</f>
        <v>0</v>
      </c>
      <c r="I36" s="23">
        <f>LOOKUP('Hypothèses et Graphiques'!J$5,'Liste quot persp Mortalité Fem'!$C$1:$AH$1,'Liste quot persp Mortalité Fem'!$C12:$AH12)</f>
        <v>0</v>
      </c>
      <c r="J36" s="23">
        <f>LOOKUP('Hypothèses et Graphiques'!K$5,'Liste quot persp Mortalité Fem'!$C$1:$AH$1,'Liste quot persp Mortalité Fem'!$C12:$AH12)</f>
        <v>0</v>
      </c>
      <c r="K36" s="23">
        <f>LOOKUP('Hypothèses et Graphiques'!L$5,'Liste quot persp Mortalité Fem'!$C$1:$AH$1,'Liste quot persp Mortalité Fem'!$C12:$AH12)</f>
        <v>0</v>
      </c>
      <c r="L36" s="23">
        <f>LOOKUP('Hypothèses et Graphiques'!M$5,'Liste quot persp Mortalité Fem'!$C$1:$AH$1,'Liste quot persp Mortalité Fem'!$C12:$AH12)</f>
        <v>0</v>
      </c>
      <c r="M36" s="23">
        <f>LOOKUP('Hypothèses et Graphiques'!N$5,'Liste quot persp Mortalité Fem'!$C$1:$AH$1,'Liste quot persp Mortalité Fem'!$C12:$AH12)</f>
        <v>0</v>
      </c>
      <c r="N36" s="23">
        <f>LOOKUP('Hypothèses et Graphiques'!O$5,'Liste quot persp Mortalité Fem'!$C$1:$AH$1,'Liste quot persp Mortalité Fem'!$C12:$AH12)</f>
        <v>0</v>
      </c>
      <c r="O36" s="23">
        <f>LOOKUP('Hypothèses et Graphiques'!P$5,'Liste quot persp Mortalité Fem'!$C$1:$AH$1,'Liste quot persp Mortalité Fem'!$C12:$AH12)</f>
        <v>0</v>
      </c>
      <c r="P36" s="23">
        <f>LOOKUP('Hypothèses et Graphiques'!Q$5,'Liste quot persp Mortalité Fem'!$C$1:$AH$1,'Liste quot persp Mortalité Fem'!$C12:$AH12)</f>
        <v>0</v>
      </c>
      <c r="Q36" s="23">
        <f>LOOKUP('Hypothèses et Graphiques'!R$5,'Liste quot persp Mortalité Fem'!$C$1:$AH$1,'Liste quot persp Mortalité Fem'!$C12:$AH12)</f>
        <v>0</v>
      </c>
      <c r="R36" s="23">
        <f>LOOKUP('Hypothèses et Graphiques'!S$5,'Liste quot persp Mortalité Fem'!$C$1:$AH$1,'Liste quot persp Mortalité Fem'!$C12:$AH12)</f>
        <v>0</v>
      </c>
      <c r="S36" s="23">
        <f>LOOKUP('Hypothèses et Graphiques'!T$5,'Liste quot persp Mortalité Fem'!$C$1:$AH$1,'Liste quot persp Mortalité Fem'!$C12:$AH12)</f>
        <v>0</v>
      </c>
    </row>
    <row r="37" spans="1:19" x14ac:dyDescent="0.25">
      <c r="A37" s="5" t="s">
        <v>10</v>
      </c>
      <c r="B37" s="5" t="s">
        <v>11</v>
      </c>
      <c r="C37" s="23">
        <f>LOOKUP('Hypothèses et Graphiques'!D$5,'Liste quot persp Mortalité Fem'!$C$1:$AH$1,'Liste quot persp Mortalité Fem'!$C13:$AH13)</f>
        <v>0</v>
      </c>
      <c r="D37" s="23">
        <f>LOOKUP('Hypothèses et Graphiques'!E$5,'Liste quot persp Mortalité Fem'!$C$1:$AH$1,'Liste quot persp Mortalité Fem'!$C13:$AH13)</f>
        <v>0</v>
      </c>
      <c r="E37" s="23">
        <f>LOOKUP('Hypothèses et Graphiques'!F$5,'Liste quot persp Mortalité Fem'!$C$1:$AH$1,'Liste quot persp Mortalité Fem'!$C13:$AH13)</f>
        <v>0</v>
      </c>
      <c r="F37" s="23">
        <f>LOOKUP('Hypothèses et Graphiques'!G$5,'Liste quot persp Mortalité Fem'!$C$1:$AH$1,'Liste quot persp Mortalité Fem'!$C13:$AH13)</f>
        <v>0</v>
      </c>
      <c r="G37" s="23">
        <f>LOOKUP('Hypothèses et Graphiques'!H$5,'Liste quot persp Mortalité Fem'!$C$1:$AH$1,'Liste quot persp Mortalité Fem'!$C13:$AH13)</f>
        <v>0</v>
      </c>
      <c r="H37" s="23">
        <f>LOOKUP('Hypothèses et Graphiques'!I$5,'Liste quot persp Mortalité Fem'!$C$1:$AH$1,'Liste quot persp Mortalité Fem'!$C13:$AH13)</f>
        <v>0</v>
      </c>
      <c r="I37" s="23">
        <f>LOOKUP('Hypothèses et Graphiques'!J$5,'Liste quot persp Mortalité Fem'!$C$1:$AH$1,'Liste quot persp Mortalité Fem'!$C13:$AH13)</f>
        <v>0</v>
      </c>
      <c r="J37" s="23">
        <f>LOOKUP('Hypothèses et Graphiques'!K$5,'Liste quot persp Mortalité Fem'!$C$1:$AH$1,'Liste quot persp Mortalité Fem'!$C13:$AH13)</f>
        <v>0</v>
      </c>
      <c r="K37" s="23">
        <f>LOOKUP('Hypothèses et Graphiques'!L$5,'Liste quot persp Mortalité Fem'!$C$1:$AH$1,'Liste quot persp Mortalité Fem'!$C13:$AH13)</f>
        <v>0</v>
      </c>
      <c r="L37" s="23">
        <f>LOOKUP('Hypothèses et Graphiques'!M$5,'Liste quot persp Mortalité Fem'!$C$1:$AH$1,'Liste quot persp Mortalité Fem'!$C13:$AH13)</f>
        <v>0</v>
      </c>
      <c r="M37" s="23">
        <f>LOOKUP('Hypothèses et Graphiques'!N$5,'Liste quot persp Mortalité Fem'!$C$1:$AH$1,'Liste quot persp Mortalité Fem'!$C13:$AH13)</f>
        <v>0</v>
      </c>
      <c r="N37" s="23">
        <f>LOOKUP('Hypothèses et Graphiques'!O$5,'Liste quot persp Mortalité Fem'!$C$1:$AH$1,'Liste quot persp Mortalité Fem'!$C13:$AH13)</f>
        <v>0</v>
      </c>
      <c r="O37" s="23">
        <f>LOOKUP('Hypothèses et Graphiques'!P$5,'Liste quot persp Mortalité Fem'!$C$1:$AH$1,'Liste quot persp Mortalité Fem'!$C13:$AH13)</f>
        <v>0</v>
      </c>
      <c r="P37" s="23">
        <f>LOOKUP('Hypothèses et Graphiques'!Q$5,'Liste quot persp Mortalité Fem'!$C$1:$AH$1,'Liste quot persp Mortalité Fem'!$C13:$AH13)</f>
        <v>0</v>
      </c>
      <c r="Q37" s="23">
        <f>LOOKUP('Hypothèses et Graphiques'!R$5,'Liste quot persp Mortalité Fem'!$C$1:$AH$1,'Liste quot persp Mortalité Fem'!$C13:$AH13)</f>
        <v>0</v>
      </c>
      <c r="R37" s="23">
        <f>LOOKUP('Hypothèses et Graphiques'!S$5,'Liste quot persp Mortalité Fem'!$C$1:$AH$1,'Liste quot persp Mortalité Fem'!$C13:$AH13)</f>
        <v>0</v>
      </c>
      <c r="S37" s="23">
        <f>LOOKUP('Hypothèses et Graphiques'!T$5,'Liste quot persp Mortalité Fem'!$C$1:$AH$1,'Liste quot persp Mortalité Fem'!$C13:$AH13)</f>
        <v>0</v>
      </c>
    </row>
    <row r="38" spans="1:19" x14ac:dyDescent="0.25">
      <c r="A38" s="5" t="s">
        <v>11</v>
      </c>
      <c r="B38" s="5" t="s">
        <v>12</v>
      </c>
      <c r="C38" s="23">
        <f>LOOKUP('Hypothèses et Graphiques'!D$5,'Liste quot persp Mortalité Fem'!$C$1:$AH$1,'Liste quot persp Mortalité Fem'!$C14:$AH14)</f>
        <v>0</v>
      </c>
      <c r="D38" s="23">
        <f>LOOKUP('Hypothèses et Graphiques'!E$5,'Liste quot persp Mortalité Fem'!$C$1:$AH$1,'Liste quot persp Mortalité Fem'!$C14:$AH14)</f>
        <v>0</v>
      </c>
      <c r="E38" s="23">
        <f>LOOKUP('Hypothèses et Graphiques'!F$5,'Liste quot persp Mortalité Fem'!$C$1:$AH$1,'Liste quot persp Mortalité Fem'!$C14:$AH14)</f>
        <v>0</v>
      </c>
      <c r="F38" s="23">
        <f>LOOKUP('Hypothèses et Graphiques'!G$5,'Liste quot persp Mortalité Fem'!$C$1:$AH$1,'Liste quot persp Mortalité Fem'!$C14:$AH14)</f>
        <v>0</v>
      </c>
      <c r="G38" s="23">
        <f>LOOKUP('Hypothèses et Graphiques'!H$5,'Liste quot persp Mortalité Fem'!$C$1:$AH$1,'Liste quot persp Mortalité Fem'!$C14:$AH14)</f>
        <v>0</v>
      </c>
      <c r="H38" s="23">
        <f>LOOKUP('Hypothèses et Graphiques'!I$5,'Liste quot persp Mortalité Fem'!$C$1:$AH$1,'Liste quot persp Mortalité Fem'!$C14:$AH14)</f>
        <v>0</v>
      </c>
      <c r="I38" s="23">
        <f>LOOKUP('Hypothèses et Graphiques'!J$5,'Liste quot persp Mortalité Fem'!$C$1:$AH$1,'Liste quot persp Mortalité Fem'!$C14:$AH14)</f>
        <v>0</v>
      </c>
      <c r="J38" s="23">
        <f>LOOKUP('Hypothèses et Graphiques'!K$5,'Liste quot persp Mortalité Fem'!$C$1:$AH$1,'Liste quot persp Mortalité Fem'!$C14:$AH14)</f>
        <v>0</v>
      </c>
      <c r="K38" s="23">
        <f>LOOKUP('Hypothèses et Graphiques'!L$5,'Liste quot persp Mortalité Fem'!$C$1:$AH$1,'Liste quot persp Mortalité Fem'!$C14:$AH14)</f>
        <v>0</v>
      </c>
      <c r="L38" s="23">
        <f>LOOKUP('Hypothèses et Graphiques'!M$5,'Liste quot persp Mortalité Fem'!$C$1:$AH$1,'Liste quot persp Mortalité Fem'!$C14:$AH14)</f>
        <v>0</v>
      </c>
      <c r="M38" s="23">
        <f>LOOKUP('Hypothèses et Graphiques'!N$5,'Liste quot persp Mortalité Fem'!$C$1:$AH$1,'Liste quot persp Mortalité Fem'!$C14:$AH14)</f>
        <v>0</v>
      </c>
      <c r="N38" s="23">
        <f>LOOKUP('Hypothèses et Graphiques'!O$5,'Liste quot persp Mortalité Fem'!$C$1:$AH$1,'Liste quot persp Mortalité Fem'!$C14:$AH14)</f>
        <v>0</v>
      </c>
      <c r="O38" s="23">
        <f>LOOKUP('Hypothèses et Graphiques'!P$5,'Liste quot persp Mortalité Fem'!$C$1:$AH$1,'Liste quot persp Mortalité Fem'!$C14:$AH14)</f>
        <v>0</v>
      </c>
      <c r="P38" s="23">
        <f>LOOKUP('Hypothèses et Graphiques'!Q$5,'Liste quot persp Mortalité Fem'!$C$1:$AH$1,'Liste quot persp Mortalité Fem'!$C14:$AH14)</f>
        <v>0</v>
      </c>
      <c r="Q38" s="23">
        <f>LOOKUP('Hypothèses et Graphiques'!R$5,'Liste quot persp Mortalité Fem'!$C$1:$AH$1,'Liste quot persp Mortalité Fem'!$C14:$AH14)</f>
        <v>0</v>
      </c>
      <c r="R38" s="23">
        <f>LOOKUP('Hypothèses et Graphiques'!S$5,'Liste quot persp Mortalité Fem'!$C$1:$AH$1,'Liste quot persp Mortalité Fem'!$C14:$AH14)</f>
        <v>0</v>
      </c>
      <c r="S38" s="23">
        <f>LOOKUP('Hypothèses et Graphiques'!T$5,'Liste quot persp Mortalité Fem'!$C$1:$AH$1,'Liste quot persp Mortalité Fem'!$C14:$AH14)</f>
        <v>0</v>
      </c>
    </row>
    <row r="39" spans="1:19" x14ac:dyDescent="0.25">
      <c r="A39" s="5" t="s">
        <v>12</v>
      </c>
      <c r="B39" s="5" t="s">
        <v>13</v>
      </c>
      <c r="C39" s="23">
        <f>LOOKUP('Hypothèses et Graphiques'!D$5,'Liste quot persp Mortalité Fem'!$C$1:$AH$1,'Liste quot persp Mortalité Fem'!$C15:$AH15)</f>
        <v>0</v>
      </c>
      <c r="D39" s="23">
        <f>LOOKUP('Hypothèses et Graphiques'!E$5,'Liste quot persp Mortalité Fem'!$C$1:$AH$1,'Liste quot persp Mortalité Fem'!$C15:$AH15)</f>
        <v>0</v>
      </c>
      <c r="E39" s="23">
        <f>LOOKUP('Hypothèses et Graphiques'!F$5,'Liste quot persp Mortalité Fem'!$C$1:$AH$1,'Liste quot persp Mortalité Fem'!$C15:$AH15)</f>
        <v>0</v>
      </c>
      <c r="F39" s="23">
        <f>LOOKUP('Hypothèses et Graphiques'!G$5,'Liste quot persp Mortalité Fem'!$C$1:$AH$1,'Liste quot persp Mortalité Fem'!$C15:$AH15)</f>
        <v>0</v>
      </c>
      <c r="G39" s="23">
        <f>LOOKUP('Hypothèses et Graphiques'!H$5,'Liste quot persp Mortalité Fem'!$C$1:$AH$1,'Liste quot persp Mortalité Fem'!$C15:$AH15)</f>
        <v>0</v>
      </c>
      <c r="H39" s="23">
        <f>LOOKUP('Hypothèses et Graphiques'!I$5,'Liste quot persp Mortalité Fem'!$C$1:$AH$1,'Liste quot persp Mortalité Fem'!$C15:$AH15)</f>
        <v>0</v>
      </c>
      <c r="I39" s="23">
        <f>LOOKUP('Hypothèses et Graphiques'!J$5,'Liste quot persp Mortalité Fem'!$C$1:$AH$1,'Liste quot persp Mortalité Fem'!$C15:$AH15)</f>
        <v>0</v>
      </c>
      <c r="J39" s="23">
        <f>LOOKUP('Hypothèses et Graphiques'!K$5,'Liste quot persp Mortalité Fem'!$C$1:$AH$1,'Liste quot persp Mortalité Fem'!$C15:$AH15)</f>
        <v>0</v>
      </c>
      <c r="K39" s="23">
        <f>LOOKUP('Hypothèses et Graphiques'!L$5,'Liste quot persp Mortalité Fem'!$C$1:$AH$1,'Liste quot persp Mortalité Fem'!$C15:$AH15)</f>
        <v>0</v>
      </c>
      <c r="L39" s="23">
        <f>LOOKUP('Hypothèses et Graphiques'!M$5,'Liste quot persp Mortalité Fem'!$C$1:$AH$1,'Liste quot persp Mortalité Fem'!$C15:$AH15)</f>
        <v>0</v>
      </c>
      <c r="M39" s="23">
        <f>LOOKUP('Hypothèses et Graphiques'!N$5,'Liste quot persp Mortalité Fem'!$C$1:$AH$1,'Liste quot persp Mortalité Fem'!$C15:$AH15)</f>
        <v>0</v>
      </c>
      <c r="N39" s="23">
        <f>LOOKUP('Hypothèses et Graphiques'!O$5,'Liste quot persp Mortalité Fem'!$C$1:$AH$1,'Liste quot persp Mortalité Fem'!$C15:$AH15)</f>
        <v>0</v>
      </c>
      <c r="O39" s="23">
        <f>LOOKUP('Hypothèses et Graphiques'!P$5,'Liste quot persp Mortalité Fem'!$C$1:$AH$1,'Liste quot persp Mortalité Fem'!$C15:$AH15)</f>
        <v>0</v>
      </c>
      <c r="P39" s="23">
        <f>LOOKUP('Hypothèses et Graphiques'!Q$5,'Liste quot persp Mortalité Fem'!$C$1:$AH$1,'Liste quot persp Mortalité Fem'!$C15:$AH15)</f>
        <v>0</v>
      </c>
      <c r="Q39" s="23">
        <f>LOOKUP('Hypothèses et Graphiques'!R$5,'Liste quot persp Mortalité Fem'!$C$1:$AH$1,'Liste quot persp Mortalité Fem'!$C15:$AH15)</f>
        <v>0</v>
      </c>
      <c r="R39" s="23">
        <f>LOOKUP('Hypothèses et Graphiques'!S$5,'Liste quot persp Mortalité Fem'!$C$1:$AH$1,'Liste quot persp Mortalité Fem'!$C15:$AH15)</f>
        <v>0</v>
      </c>
      <c r="S39" s="23">
        <f>LOOKUP('Hypothèses et Graphiques'!T$5,'Liste quot persp Mortalité Fem'!$C$1:$AH$1,'Liste quot persp Mortalité Fem'!$C15:$AH15)</f>
        <v>0</v>
      </c>
    </row>
    <row r="40" spans="1:19" x14ac:dyDescent="0.25">
      <c r="A40" s="5" t="s">
        <v>13</v>
      </c>
      <c r="B40" s="5" t="s">
        <v>14</v>
      </c>
      <c r="C40" s="23">
        <f>LOOKUP('Hypothèses et Graphiques'!D$5,'Liste quot persp Mortalité Fem'!$C$1:$AH$1,'Liste quot persp Mortalité Fem'!$C16:$AH16)</f>
        <v>0</v>
      </c>
      <c r="D40" s="23">
        <f>LOOKUP('Hypothèses et Graphiques'!E$5,'Liste quot persp Mortalité Fem'!$C$1:$AH$1,'Liste quot persp Mortalité Fem'!$C16:$AH16)</f>
        <v>0</v>
      </c>
      <c r="E40" s="23">
        <f>LOOKUP('Hypothèses et Graphiques'!F$5,'Liste quot persp Mortalité Fem'!$C$1:$AH$1,'Liste quot persp Mortalité Fem'!$C16:$AH16)</f>
        <v>0</v>
      </c>
      <c r="F40" s="23">
        <f>LOOKUP('Hypothèses et Graphiques'!G$5,'Liste quot persp Mortalité Fem'!$C$1:$AH$1,'Liste quot persp Mortalité Fem'!$C16:$AH16)</f>
        <v>0</v>
      </c>
      <c r="G40" s="23">
        <f>LOOKUP('Hypothèses et Graphiques'!H$5,'Liste quot persp Mortalité Fem'!$C$1:$AH$1,'Liste quot persp Mortalité Fem'!$C16:$AH16)</f>
        <v>0</v>
      </c>
      <c r="H40" s="23">
        <f>LOOKUP('Hypothèses et Graphiques'!I$5,'Liste quot persp Mortalité Fem'!$C$1:$AH$1,'Liste quot persp Mortalité Fem'!$C16:$AH16)</f>
        <v>0</v>
      </c>
      <c r="I40" s="23">
        <f>LOOKUP('Hypothèses et Graphiques'!J$5,'Liste quot persp Mortalité Fem'!$C$1:$AH$1,'Liste quot persp Mortalité Fem'!$C16:$AH16)</f>
        <v>0</v>
      </c>
      <c r="J40" s="23">
        <f>LOOKUP('Hypothèses et Graphiques'!K$5,'Liste quot persp Mortalité Fem'!$C$1:$AH$1,'Liste quot persp Mortalité Fem'!$C16:$AH16)</f>
        <v>0</v>
      </c>
      <c r="K40" s="23">
        <f>LOOKUP('Hypothèses et Graphiques'!L$5,'Liste quot persp Mortalité Fem'!$C$1:$AH$1,'Liste quot persp Mortalité Fem'!$C16:$AH16)</f>
        <v>0</v>
      </c>
      <c r="L40" s="23">
        <f>LOOKUP('Hypothèses et Graphiques'!M$5,'Liste quot persp Mortalité Fem'!$C$1:$AH$1,'Liste quot persp Mortalité Fem'!$C16:$AH16)</f>
        <v>0</v>
      </c>
      <c r="M40" s="23">
        <f>LOOKUP('Hypothèses et Graphiques'!N$5,'Liste quot persp Mortalité Fem'!$C$1:$AH$1,'Liste quot persp Mortalité Fem'!$C16:$AH16)</f>
        <v>0</v>
      </c>
      <c r="N40" s="23">
        <f>LOOKUP('Hypothèses et Graphiques'!O$5,'Liste quot persp Mortalité Fem'!$C$1:$AH$1,'Liste quot persp Mortalité Fem'!$C16:$AH16)</f>
        <v>0</v>
      </c>
      <c r="O40" s="23">
        <f>LOOKUP('Hypothèses et Graphiques'!P$5,'Liste quot persp Mortalité Fem'!$C$1:$AH$1,'Liste quot persp Mortalité Fem'!$C16:$AH16)</f>
        <v>0</v>
      </c>
      <c r="P40" s="23">
        <f>LOOKUP('Hypothèses et Graphiques'!Q$5,'Liste quot persp Mortalité Fem'!$C$1:$AH$1,'Liste quot persp Mortalité Fem'!$C16:$AH16)</f>
        <v>0</v>
      </c>
      <c r="Q40" s="23">
        <f>LOOKUP('Hypothèses et Graphiques'!R$5,'Liste quot persp Mortalité Fem'!$C$1:$AH$1,'Liste quot persp Mortalité Fem'!$C16:$AH16)</f>
        <v>0</v>
      </c>
      <c r="R40" s="23">
        <f>LOOKUP('Hypothèses et Graphiques'!S$5,'Liste quot persp Mortalité Fem'!$C$1:$AH$1,'Liste quot persp Mortalité Fem'!$C16:$AH16)</f>
        <v>0</v>
      </c>
      <c r="S40" s="23">
        <f>LOOKUP('Hypothèses et Graphiques'!T$5,'Liste quot persp Mortalité Fem'!$C$1:$AH$1,'Liste quot persp Mortalité Fem'!$C16:$AH16)</f>
        <v>0</v>
      </c>
    </row>
    <row r="41" spans="1:19" x14ac:dyDescent="0.25">
      <c r="A41" s="5" t="s">
        <v>14</v>
      </c>
      <c r="B41" s="5" t="s">
        <v>15</v>
      </c>
      <c r="C41" s="23">
        <f>LOOKUP('Hypothèses et Graphiques'!D$5,'Liste quot persp Mortalité Fem'!$C$1:$AH$1,'Liste quot persp Mortalité Fem'!$C17:$AH17)</f>
        <v>0</v>
      </c>
      <c r="D41" s="23">
        <f>LOOKUP('Hypothèses et Graphiques'!E$5,'Liste quot persp Mortalité Fem'!$C$1:$AH$1,'Liste quot persp Mortalité Fem'!$C17:$AH17)</f>
        <v>0</v>
      </c>
      <c r="E41" s="23">
        <f>LOOKUP('Hypothèses et Graphiques'!F$5,'Liste quot persp Mortalité Fem'!$C$1:$AH$1,'Liste quot persp Mortalité Fem'!$C17:$AH17)</f>
        <v>0</v>
      </c>
      <c r="F41" s="23">
        <f>LOOKUP('Hypothèses et Graphiques'!G$5,'Liste quot persp Mortalité Fem'!$C$1:$AH$1,'Liste quot persp Mortalité Fem'!$C17:$AH17)</f>
        <v>0</v>
      </c>
      <c r="G41" s="23">
        <f>LOOKUP('Hypothèses et Graphiques'!H$5,'Liste quot persp Mortalité Fem'!$C$1:$AH$1,'Liste quot persp Mortalité Fem'!$C17:$AH17)</f>
        <v>0</v>
      </c>
      <c r="H41" s="23">
        <f>LOOKUP('Hypothèses et Graphiques'!I$5,'Liste quot persp Mortalité Fem'!$C$1:$AH$1,'Liste quot persp Mortalité Fem'!$C17:$AH17)</f>
        <v>0</v>
      </c>
      <c r="I41" s="23">
        <f>LOOKUP('Hypothèses et Graphiques'!J$5,'Liste quot persp Mortalité Fem'!$C$1:$AH$1,'Liste quot persp Mortalité Fem'!$C17:$AH17)</f>
        <v>0</v>
      </c>
      <c r="J41" s="23">
        <f>LOOKUP('Hypothèses et Graphiques'!K$5,'Liste quot persp Mortalité Fem'!$C$1:$AH$1,'Liste quot persp Mortalité Fem'!$C17:$AH17)</f>
        <v>0</v>
      </c>
      <c r="K41" s="23">
        <f>LOOKUP('Hypothèses et Graphiques'!L$5,'Liste quot persp Mortalité Fem'!$C$1:$AH$1,'Liste quot persp Mortalité Fem'!$C17:$AH17)</f>
        <v>0</v>
      </c>
      <c r="L41" s="23">
        <f>LOOKUP('Hypothèses et Graphiques'!M$5,'Liste quot persp Mortalité Fem'!$C$1:$AH$1,'Liste quot persp Mortalité Fem'!$C17:$AH17)</f>
        <v>0</v>
      </c>
      <c r="M41" s="23">
        <f>LOOKUP('Hypothèses et Graphiques'!N$5,'Liste quot persp Mortalité Fem'!$C$1:$AH$1,'Liste quot persp Mortalité Fem'!$C17:$AH17)</f>
        <v>0</v>
      </c>
      <c r="N41" s="23">
        <f>LOOKUP('Hypothèses et Graphiques'!O$5,'Liste quot persp Mortalité Fem'!$C$1:$AH$1,'Liste quot persp Mortalité Fem'!$C17:$AH17)</f>
        <v>0</v>
      </c>
      <c r="O41" s="23">
        <f>LOOKUP('Hypothèses et Graphiques'!P$5,'Liste quot persp Mortalité Fem'!$C$1:$AH$1,'Liste quot persp Mortalité Fem'!$C17:$AH17)</f>
        <v>0</v>
      </c>
      <c r="P41" s="23">
        <f>LOOKUP('Hypothèses et Graphiques'!Q$5,'Liste quot persp Mortalité Fem'!$C$1:$AH$1,'Liste quot persp Mortalité Fem'!$C17:$AH17)</f>
        <v>0</v>
      </c>
      <c r="Q41" s="23">
        <f>LOOKUP('Hypothèses et Graphiques'!R$5,'Liste quot persp Mortalité Fem'!$C$1:$AH$1,'Liste quot persp Mortalité Fem'!$C17:$AH17)</f>
        <v>0</v>
      </c>
      <c r="R41" s="23">
        <f>LOOKUP('Hypothèses et Graphiques'!S$5,'Liste quot persp Mortalité Fem'!$C$1:$AH$1,'Liste quot persp Mortalité Fem'!$C17:$AH17)</f>
        <v>0</v>
      </c>
      <c r="S41" s="23">
        <f>LOOKUP('Hypothèses et Graphiques'!T$5,'Liste quot persp Mortalité Fem'!$C$1:$AH$1,'Liste quot persp Mortalité Fem'!$C17:$AH17)</f>
        <v>0</v>
      </c>
    </row>
    <row r="42" spans="1:19" x14ac:dyDescent="0.25">
      <c r="A42" s="5" t="s">
        <v>15</v>
      </c>
      <c r="B42" s="5" t="s">
        <v>16</v>
      </c>
      <c r="C42" s="23">
        <f>LOOKUP('Hypothèses et Graphiques'!D$5,'Liste quot persp Mortalité Fem'!$C$1:$AH$1,'Liste quot persp Mortalité Fem'!$C18:$AH18)</f>
        <v>0</v>
      </c>
      <c r="D42" s="23">
        <f>LOOKUP('Hypothèses et Graphiques'!E$5,'Liste quot persp Mortalité Fem'!$C$1:$AH$1,'Liste quot persp Mortalité Fem'!$C18:$AH18)</f>
        <v>0</v>
      </c>
      <c r="E42" s="23">
        <f>LOOKUP('Hypothèses et Graphiques'!F$5,'Liste quot persp Mortalité Fem'!$C$1:$AH$1,'Liste quot persp Mortalité Fem'!$C18:$AH18)</f>
        <v>0</v>
      </c>
      <c r="F42" s="23">
        <f>LOOKUP('Hypothèses et Graphiques'!G$5,'Liste quot persp Mortalité Fem'!$C$1:$AH$1,'Liste quot persp Mortalité Fem'!$C18:$AH18)</f>
        <v>0</v>
      </c>
      <c r="G42" s="23">
        <f>LOOKUP('Hypothèses et Graphiques'!H$5,'Liste quot persp Mortalité Fem'!$C$1:$AH$1,'Liste quot persp Mortalité Fem'!$C18:$AH18)</f>
        <v>0</v>
      </c>
      <c r="H42" s="23">
        <f>LOOKUP('Hypothèses et Graphiques'!I$5,'Liste quot persp Mortalité Fem'!$C$1:$AH$1,'Liste quot persp Mortalité Fem'!$C18:$AH18)</f>
        <v>0</v>
      </c>
      <c r="I42" s="23">
        <f>LOOKUP('Hypothèses et Graphiques'!J$5,'Liste quot persp Mortalité Fem'!$C$1:$AH$1,'Liste quot persp Mortalité Fem'!$C18:$AH18)</f>
        <v>0</v>
      </c>
      <c r="J42" s="23">
        <f>LOOKUP('Hypothèses et Graphiques'!K$5,'Liste quot persp Mortalité Fem'!$C$1:$AH$1,'Liste quot persp Mortalité Fem'!$C18:$AH18)</f>
        <v>0</v>
      </c>
      <c r="K42" s="23">
        <f>LOOKUP('Hypothèses et Graphiques'!L$5,'Liste quot persp Mortalité Fem'!$C$1:$AH$1,'Liste quot persp Mortalité Fem'!$C18:$AH18)</f>
        <v>0</v>
      </c>
      <c r="L42" s="23">
        <f>LOOKUP('Hypothèses et Graphiques'!M$5,'Liste quot persp Mortalité Fem'!$C$1:$AH$1,'Liste quot persp Mortalité Fem'!$C18:$AH18)</f>
        <v>0</v>
      </c>
      <c r="M42" s="23">
        <f>LOOKUP('Hypothèses et Graphiques'!N$5,'Liste quot persp Mortalité Fem'!$C$1:$AH$1,'Liste quot persp Mortalité Fem'!$C18:$AH18)</f>
        <v>0</v>
      </c>
      <c r="N42" s="23">
        <f>LOOKUP('Hypothèses et Graphiques'!O$5,'Liste quot persp Mortalité Fem'!$C$1:$AH$1,'Liste quot persp Mortalité Fem'!$C18:$AH18)</f>
        <v>0</v>
      </c>
      <c r="O42" s="23">
        <f>LOOKUP('Hypothèses et Graphiques'!P$5,'Liste quot persp Mortalité Fem'!$C$1:$AH$1,'Liste quot persp Mortalité Fem'!$C18:$AH18)</f>
        <v>0</v>
      </c>
      <c r="P42" s="23">
        <f>LOOKUP('Hypothèses et Graphiques'!Q$5,'Liste quot persp Mortalité Fem'!$C$1:$AH$1,'Liste quot persp Mortalité Fem'!$C18:$AH18)</f>
        <v>0</v>
      </c>
      <c r="Q42" s="23">
        <f>LOOKUP('Hypothèses et Graphiques'!R$5,'Liste quot persp Mortalité Fem'!$C$1:$AH$1,'Liste quot persp Mortalité Fem'!$C18:$AH18)</f>
        <v>0</v>
      </c>
      <c r="R42" s="23">
        <f>LOOKUP('Hypothèses et Graphiques'!S$5,'Liste quot persp Mortalité Fem'!$C$1:$AH$1,'Liste quot persp Mortalité Fem'!$C18:$AH18)</f>
        <v>0</v>
      </c>
      <c r="S42" s="23">
        <f>LOOKUP('Hypothèses et Graphiques'!T$5,'Liste quot persp Mortalité Fem'!$C$1:$AH$1,'Liste quot persp Mortalité Fem'!$C18:$AH18)</f>
        <v>0</v>
      </c>
    </row>
    <row r="43" spans="1:19" x14ac:dyDescent="0.25">
      <c r="A43" s="5" t="s">
        <v>16</v>
      </c>
      <c r="B43" s="5" t="s">
        <v>17</v>
      </c>
      <c r="C43" s="23">
        <f>LOOKUP('Hypothèses et Graphiques'!D$5,'Liste quot persp Mortalité Fem'!$C$1:$AH$1,'Liste quot persp Mortalité Fem'!$C19:$AH19)</f>
        <v>0</v>
      </c>
      <c r="D43" s="23">
        <f>LOOKUP('Hypothèses et Graphiques'!E$5,'Liste quot persp Mortalité Fem'!$C$1:$AH$1,'Liste quot persp Mortalité Fem'!$C19:$AH19)</f>
        <v>0</v>
      </c>
      <c r="E43" s="23">
        <f>LOOKUP('Hypothèses et Graphiques'!F$5,'Liste quot persp Mortalité Fem'!$C$1:$AH$1,'Liste quot persp Mortalité Fem'!$C19:$AH19)</f>
        <v>0</v>
      </c>
      <c r="F43" s="23">
        <f>LOOKUP('Hypothèses et Graphiques'!G$5,'Liste quot persp Mortalité Fem'!$C$1:$AH$1,'Liste quot persp Mortalité Fem'!$C19:$AH19)</f>
        <v>0</v>
      </c>
      <c r="G43" s="23">
        <f>LOOKUP('Hypothèses et Graphiques'!H$5,'Liste quot persp Mortalité Fem'!$C$1:$AH$1,'Liste quot persp Mortalité Fem'!$C19:$AH19)</f>
        <v>0</v>
      </c>
      <c r="H43" s="23">
        <f>LOOKUP('Hypothèses et Graphiques'!I$5,'Liste quot persp Mortalité Fem'!$C$1:$AH$1,'Liste quot persp Mortalité Fem'!$C19:$AH19)</f>
        <v>0</v>
      </c>
      <c r="I43" s="23">
        <f>LOOKUP('Hypothèses et Graphiques'!J$5,'Liste quot persp Mortalité Fem'!$C$1:$AH$1,'Liste quot persp Mortalité Fem'!$C19:$AH19)</f>
        <v>0</v>
      </c>
      <c r="J43" s="23">
        <f>LOOKUP('Hypothèses et Graphiques'!K$5,'Liste quot persp Mortalité Fem'!$C$1:$AH$1,'Liste quot persp Mortalité Fem'!$C19:$AH19)</f>
        <v>0</v>
      </c>
      <c r="K43" s="23">
        <f>LOOKUP('Hypothèses et Graphiques'!L$5,'Liste quot persp Mortalité Fem'!$C$1:$AH$1,'Liste quot persp Mortalité Fem'!$C19:$AH19)</f>
        <v>0</v>
      </c>
      <c r="L43" s="23">
        <f>LOOKUP('Hypothèses et Graphiques'!M$5,'Liste quot persp Mortalité Fem'!$C$1:$AH$1,'Liste quot persp Mortalité Fem'!$C19:$AH19)</f>
        <v>0</v>
      </c>
      <c r="M43" s="23">
        <f>LOOKUP('Hypothèses et Graphiques'!N$5,'Liste quot persp Mortalité Fem'!$C$1:$AH$1,'Liste quot persp Mortalité Fem'!$C19:$AH19)</f>
        <v>0</v>
      </c>
      <c r="N43" s="23">
        <f>LOOKUP('Hypothèses et Graphiques'!O$5,'Liste quot persp Mortalité Fem'!$C$1:$AH$1,'Liste quot persp Mortalité Fem'!$C19:$AH19)</f>
        <v>0</v>
      </c>
      <c r="O43" s="23">
        <f>LOOKUP('Hypothèses et Graphiques'!P$5,'Liste quot persp Mortalité Fem'!$C$1:$AH$1,'Liste quot persp Mortalité Fem'!$C19:$AH19)</f>
        <v>0</v>
      </c>
      <c r="P43" s="23">
        <f>LOOKUP('Hypothèses et Graphiques'!Q$5,'Liste quot persp Mortalité Fem'!$C$1:$AH$1,'Liste quot persp Mortalité Fem'!$C19:$AH19)</f>
        <v>0</v>
      </c>
      <c r="Q43" s="23">
        <f>LOOKUP('Hypothèses et Graphiques'!R$5,'Liste quot persp Mortalité Fem'!$C$1:$AH$1,'Liste quot persp Mortalité Fem'!$C19:$AH19)</f>
        <v>0</v>
      </c>
      <c r="R43" s="23">
        <f>LOOKUP('Hypothèses et Graphiques'!S$5,'Liste quot persp Mortalité Fem'!$C$1:$AH$1,'Liste quot persp Mortalité Fem'!$C19:$AH19)</f>
        <v>0</v>
      </c>
      <c r="S43" s="23">
        <f>LOOKUP('Hypothèses et Graphiques'!T$5,'Liste quot persp Mortalité Fem'!$C$1:$AH$1,'Liste quot persp Mortalité Fem'!$C19:$AH19)</f>
        <v>0</v>
      </c>
    </row>
    <row r="44" spans="1:19" x14ac:dyDescent="0.25">
      <c r="A44" s="5" t="s">
        <v>17</v>
      </c>
      <c r="B44" s="5" t="s">
        <v>18</v>
      </c>
      <c r="C44" s="23">
        <f>LOOKUP('Hypothèses et Graphiques'!D$5,'Liste quot persp Mortalité Fem'!$C$1:$AH$1,'Liste quot persp Mortalité Fem'!$C20:$AH20)</f>
        <v>0</v>
      </c>
      <c r="D44" s="23">
        <f>LOOKUP('Hypothèses et Graphiques'!E$5,'Liste quot persp Mortalité Fem'!$C$1:$AH$1,'Liste quot persp Mortalité Fem'!$C20:$AH20)</f>
        <v>0</v>
      </c>
      <c r="E44" s="23">
        <f>LOOKUP('Hypothèses et Graphiques'!F$5,'Liste quot persp Mortalité Fem'!$C$1:$AH$1,'Liste quot persp Mortalité Fem'!$C20:$AH20)</f>
        <v>0</v>
      </c>
      <c r="F44" s="23">
        <f>LOOKUP('Hypothèses et Graphiques'!G$5,'Liste quot persp Mortalité Fem'!$C$1:$AH$1,'Liste quot persp Mortalité Fem'!$C20:$AH20)</f>
        <v>0</v>
      </c>
      <c r="G44" s="23">
        <f>LOOKUP('Hypothèses et Graphiques'!H$5,'Liste quot persp Mortalité Fem'!$C$1:$AH$1,'Liste quot persp Mortalité Fem'!$C20:$AH20)</f>
        <v>0</v>
      </c>
      <c r="H44" s="23">
        <f>LOOKUP('Hypothèses et Graphiques'!I$5,'Liste quot persp Mortalité Fem'!$C$1:$AH$1,'Liste quot persp Mortalité Fem'!$C20:$AH20)</f>
        <v>0</v>
      </c>
      <c r="I44" s="23">
        <f>LOOKUP('Hypothèses et Graphiques'!J$5,'Liste quot persp Mortalité Fem'!$C$1:$AH$1,'Liste quot persp Mortalité Fem'!$C20:$AH20)</f>
        <v>0</v>
      </c>
      <c r="J44" s="23">
        <f>LOOKUP('Hypothèses et Graphiques'!K$5,'Liste quot persp Mortalité Fem'!$C$1:$AH$1,'Liste quot persp Mortalité Fem'!$C20:$AH20)</f>
        <v>0</v>
      </c>
      <c r="K44" s="23">
        <f>LOOKUP('Hypothèses et Graphiques'!L$5,'Liste quot persp Mortalité Fem'!$C$1:$AH$1,'Liste quot persp Mortalité Fem'!$C20:$AH20)</f>
        <v>0</v>
      </c>
      <c r="L44" s="23">
        <f>LOOKUP('Hypothèses et Graphiques'!M$5,'Liste quot persp Mortalité Fem'!$C$1:$AH$1,'Liste quot persp Mortalité Fem'!$C20:$AH20)</f>
        <v>0</v>
      </c>
      <c r="M44" s="23">
        <f>LOOKUP('Hypothèses et Graphiques'!N$5,'Liste quot persp Mortalité Fem'!$C$1:$AH$1,'Liste quot persp Mortalité Fem'!$C20:$AH20)</f>
        <v>0</v>
      </c>
      <c r="N44" s="23">
        <f>LOOKUP('Hypothèses et Graphiques'!O$5,'Liste quot persp Mortalité Fem'!$C$1:$AH$1,'Liste quot persp Mortalité Fem'!$C20:$AH20)</f>
        <v>0</v>
      </c>
      <c r="O44" s="23">
        <f>LOOKUP('Hypothèses et Graphiques'!P$5,'Liste quot persp Mortalité Fem'!$C$1:$AH$1,'Liste quot persp Mortalité Fem'!$C20:$AH20)</f>
        <v>0</v>
      </c>
      <c r="P44" s="23">
        <f>LOOKUP('Hypothèses et Graphiques'!Q$5,'Liste quot persp Mortalité Fem'!$C$1:$AH$1,'Liste quot persp Mortalité Fem'!$C20:$AH20)</f>
        <v>0</v>
      </c>
      <c r="Q44" s="23">
        <f>LOOKUP('Hypothèses et Graphiques'!R$5,'Liste quot persp Mortalité Fem'!$C$1:$AH$1,'Liste quot persp Mortalité Fem'!$C20:$AH20)</f>
        <v>0</v>
      </c>
      <c r="R44" s="23">
        <f>LOOKUP('Hypothèses et Graphiques'!S$5,'Liste quot persp Mortalité Fem'!$C$1:$AH$1,'Liste quot persp Mortalité Fem'!$C20:$AH20)</f>
        <v>0</v>
      </c>
      <c r="S44" s="23">
        <f>LOOKUP('Hypothèses et Graphiques'!T$5,'Liste quot persp Mortalité Fem'!$C$1:$AH$1,'Liste quot persp Mortalité Fem'!$C20:$AH20)</f>
        <v>0</v>
      </c>
    </row>
    <row r="45" spans="1:19" x14ac:dyDescent="0.25">
      <c r="A45" s="5" t="s">
        <v>18</v>
      </c>
      <c r="B45" s="5" t="s">
        <v>19</v>
      </c>
      <c r="C45" s="23">
        <f>LOOKUP('Hypothèses et Graphiques'!D$5,'Liste quot persp Mortalité Fem'!$C$1:$AH$1,'Liste quot persp Mortalité Fem'!$C21:$AH21)</f>
        <v>0</v>
      </c>
      <c r="D45" s="23">
        <f>LOOKUP('Hypothèses et Graphiques'!E$5,'Liste quot persp Mortalité Fem'!$C$1:$AH$1,'Liste quot persp Mortalité Fem'!$C21:$AH21)</f>
        <v>0</v>
      </c>
      <c r="E45" s="23">
        <f>LOOKUP('Hypothèses et Graphiques'!F$5,'Liste quot persp Mortalité Fem'!$C$1:$AH$1,'Liste quot persp Mortalité Fem'!$C21:$AH21)</f>
        <v>0</v>
      </c>
      <c r="F45" s="23">
        <f>LOOKUP('Hypothèses et Graphiques'!G$5,'Liste quot persp Mortalité Fem'!$C$1:$AH$1,'Liste quot persp Mortalité Fem'!$C21:$AH21)</f>
        <v>0</v>
      </c>
      <c r="G45" s="23">
        <f>LOOKUP('Hypothèses et Graphiques'!H$5,'Liste quot persp Mortalité Fem'!$C$1:$AH$1,'Liste quot persp Mortalité Fem'!$C21:$AH21)</f>
        <v>0</v>
      </c>
      <c r="H45" s="23">
        <f>LOOKUP('Hypothèses et Graphiques'!I$5,'Liste quot persp Mortalité Fem'!$C$1:$AH$1,'Liste quot persp Mortalité Fem'!$C21:$AH21)</f>
        <v>0</v>
      </c>
      <c r="I45" s="23">
        <f>LOOKUP('Hypothèses et Graphiques'!J$5,'Liste quot persp Mortalité Fem'!$C$1:$AH$1,'Liste quot persp Mortalité Fem'!$C21:$AH21)</f>
        <v>0</v>
      </c>
      <c r="J45" s="23">
        <f>LOOKUP('Hypothèses et Graphiques'!K$5,'Liste quot persp Mortalité Fem'!$C$1:$AH$1,'Liste quot persp Mortalité Fem'!$C21:$AH21)</f>
        <v>0</v>
      </c>
      <c r="K45" s="23">
        <f>LOOKUP('Hypothèses et Graphiques'!L$5,'Liste quot persp Mortalité Fem'!$C$1:$AH$1,'Liste quot persp Mortalité Fem'!$C21:$AH21)</f>
        <v>0</v>
      </c>
      <c r="L45" s="23">
        <f>LOOKUP('Hypothèses et Graphiques'!M$5,'Liste quot persp Mortalité Fem'!$C$1:$AH$1,'Liste quot persp Mortalité Fem'!$C21:$AH21)</f>
        <v>0</v>
      </c>
      <c r="M45" s="23">
        <f>LOOKUP('Hypothèses et Graphiques'!N$5,'Liste quot persp Mortalité Fem'!$C$1:$AH$1,'Liste quot persp Mortalité Fem'!$C21:$AH21)</f>
        <v>0</v>
      </c>
      <c r="N45" s="23">
        <f>LOOKUP('Hypothèses et Graphiques'!O$5,'Liste quot persp Mortalité Fem'!$C$1:$AH$1,'Liste quot persp Mortalité Fem'!$C21:$AH21)</f>
        <v>0</v>
      </c>
      <c r="O45" s="23">
        <f>LOOKUP('Hypothèses et Graphiques'!P$5,'Liste quot persp Mortalité Fem'!$C$1:$AH$1,'Liste quot persp Mortalité Fem'!$C21:$AH21)</f>
        <v>0</v>
      </c>
      <c r="P45" s="23">
        <f>LOOKUP('Hypothèses et Graphiques'!Q$5,'Liste quot persp Mortalité Fem'!$C$1:$AH$1,'Liste quot persp Mortalité Fem'!$C21:$AH21)</f>
        <v>0</v>
      </c>
      <c r="Q45" s="23">
        <f>LOOKUP('Hypothèses et Graphiques'!R$5,'Liste quot persp Mortalité Fem'!$C$1:$AH$1,'Liste quot persp Mortalité Fem'!$C21:$AH21)</f>
        <v>0</v>
      </c>
      <c r="R45" s="23">
        <f>LOOKUP('Hypothèses et Graphiques'!S$5,'Liste quot persp Mortalité Fem'!$C$1:$AH$1,'Liste quot persp Mortalité Fem'!$C21:$AH21)</f>
        <v>0</v>
      </c>
      <c r="S45" s="23">
        <f>LOOKUP('Hypothèses et Graphiques'!T$5,'Liste quot persp Mortalité Fem'!$C$1:$AH$1,'Liste quot persp Mortalité Fem'!$C21:$AH21)</f>
        <v>0</v>
      </c>
    </row>
    <row r="46" spans="1:19" ht="14.4" thickBot="1" x14ac:dyDescent="0.3">
      <c r="A46" s="6" t="s">
        <v>47</v>
      </c>
      <c r="B46" s="6" t="s">
        <v>20</v>
      </c>
      <c r="C46" s="23">
        <f>LOOKUP('Hypothèses et Graphiques'!D$5,'Liste quot persp Mortalité Fem'!$C$1:$AH$1,'Liste quot persp Mortalité Fem'!$C22:$AH22)</f>
        <v>0</v>
      </c>
      <c r="D46" s="23">
        <f>LOOKUP('Hypothèses et Graphiques'!E$5,'Liste quot persp Mortalité Fem'!$C$1:$AH$1,'Liste quot persp Mortalité Fem'!$C22:$AH22)</f>
        <v>0</v>
      </c>
      <c r="E46" s="23">
        <f>LOOKUP('Hypothèses et Graphiques'!F$5,'Liste quot persp Mortalité Fem'!$C$1:$AH$1,'Liste quot persp Mortalité Fem'!$C22:$AH22)</f>
        <v>0</v>
      </c>
      <c r="F46" s="23">
        <f>LOOKUP('Hypothèses et Graphiques'!G$5,'Liste quot persp Mortalité Fem'!$C$1:$AH$1,'Liste quot persp Mortalité Fem'!$C22:$AH22)</f>
        <v>0</v>
      </c>
      <c r="G46" s="23">
        <f>LOOKUP('Hypothèses et Graphiques'!H$5,'Liste quot persp Mortalité Fem'!$C$1:$AH$1,'Liste quot persp Mortalité Fem'!$C22:$AH22)</f>
        <v>0</v>
      </c>
      <c r="H46" s="23">
        <f>LOOKUP('Hypothèses et Graphiques'!I$5,'Liste quot persp Mortalité Fem'!$C$1:$AH$1,'Liste quot persp Mortalité Fem'!$C22:$AH22)</f>
        <v>0</v>
      </c>
      <c r="I46" s="23">
        <f>LOOKUP('Hypothèses et Graphiques'!J$5,'Liste quot persp Mortalité Fem'!$C$1:$AH$1,'Liste quot persp Mortalité Fem'!$C22:$AH22)</f>
        <v>0</v>
      </c>
      <c r="J46" s="23">
        <f>LOOKUP('Hypothèses et Graphiques'!K$5,'Liste quot persp Mortalité Fem'!$C$1:$AH$1,'Liste quot persp Mortalité Fem'!$C22:$AH22)</f>
        <v>0</v>
      </c>
      <c r="K46" s="23">
        <f>LOOKUP('Hypothèses et Graphiques'!L$5,'Liste quot persp Mortalité Fem'!$C$1:$AH$1,'Liste quot persp Mortalité Fem'!$C22:$AH22)</f>
        <v>0</v>
      </c>
      <c r="L46" s="23">
        <f>LOOKUP('Hypothèses et Graphiques'!M$5,'Liste quot persp Mortalité Fem'!$C$1:$AH$1,'Liste quot persp Mortalité Fem'!$C22:$AH22)</f>
        <v>0</v>
      </c>
      <c r="M46" s="23">
        <f>LOOKUP('Hypothèses et Graphiques'!N$5,'Liste quot persp Mortalité Fem'!$C$1:$AH$1,'Liste quot persp Mortalité Fem'!$C22:$AH22)</f>
        <v>0</v>
      </c>
      <c r="N46" s="23">
        <f>LOOKUP('Hypothèses et Graphiques'!O$5,'Liste quot persp Mortalité Fem'!$C$1:$AH$1,'Liste quot persp Mortalité Fem'!$C22:$AH22)</f>
        <v>0</v>
      </c>
      <c r="O46" s="23">
        <f>LOOKUP('Hypothèses et Graphiques'!P$5,'Liste quot persp Mortalité Fem'!$C$1:$AH$1,'Liste quot persp Mortalité Fem'!$C22:$AH22)</f>
        <v>0</v>
      </c>
      <c r="P46" s="23">
        <f>LOOKUP('Hypothèses et Graphiques'!Q$5,'Liste quot persp Mortalité Fem'!$C$1:$AH$1,'Liste quot persp Mortalité Fem'!$C22:$AH22)</f>
        <v>0</v>
      </c>
      <c r="Q46" s="23">
        <f>LOOKUP('Hypothèses et Graphiques'!R$5,'Liste quot persp Mortalité Fem'!$C$1:$AH$1,'Liste quot persp Mortalité Fem'!$C22:$AH22)</f>
        <v>0</v>
      </c>
      <c r="R46" s="23">
        <f>LOOKUP('Hypothèses et Graphiques'!S$5,'Liste quot persp Mortalité Fem'!$C$1:$AH$1,'Liste quot persp Mortalité Fem'!$C22:$AH22)</f>
        <v>0</v>
      </c>
      <c r="S46" s="23">
        <f>LOOKUP('Hypothèses et Graphiques'!T$5,'Liste quot persp Mortalité Fem'!$C$1:$AH$1,'Liste quot persp Mortalité Fem'!$C22:$AH22)</f>
        <v>0</v>
      </c>
    </row>
  </sheetData>
  <pageMargins left="0.7" right="0.7" top="0.75" bottom="0.75" header="0.3" footer="0.3"/>
  <ignoredErrors>
    <ignoredError sqref="B5 A6 B28 A29" twoDigitTextYear="1"/>
  </ignoredError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</sheetPr>
  <dimension ref="A1:S46"/>
  <sheetViews>
    <sheetView workbookViewId="0"/>
  </sheetViews>
  <sheetFormatPr baseColWidth="10" defaultColWidth="11" defaultRowHeight="13.8" x14ac:dyDescent="0.25"/>
  <cols>
    <col min="1" max="1" width="12.19921875" customWidth="1"/>
    <col min="2" max="2" width="10.19921875" customWidth="1"/>
  </cols>
  <sheetData>
    <row r="1" spans="1:19" ht="14.4" thickBot="1" x14ac:dyDescent="0.3">
      <c r="B1" t="s">
        <v>21</v>
      </c>
    </row>
    <row r="2" spans="1:19" ht="14.4" thickBot="1" x14ac:dyDescent="0.3">
      <c r="A2" t="s">
        <v>43</v>
      </c>
      <c r="B2" t="s">
        <v>44</v>
      </c>
      <c r="C2" s="1" t="s">
        <v>24</v>
      </c>
      <c r="D2" s="2" t="s">
        <v>25</v>
      </c>
      <c r="E2" s="2" t="s">
        <v>26</v>
      </c>
      <c r="F2" s="2" t="s">
        <v>27</v>
      </c>
      <c r="G2" s="2" t="s">
        <v>28</v>
      </c>
      <c r="H2" s="2" t="s">
        <v>29</v>
      </c>
      <c r="I2" s="2" t="s">
        <v>30</v>
      </c>
      <c r="J2" s="2" t="s">
        <v>31</v>
      </c>
      <c r="K2" s="2" t="s">
        <v>32</v>
      </c>
      <c r="L2" s="2" t="s">
        <v>33</v>
      </c>
      <c r="M2" s="2" t="s">
        <v>34</v>
      </c>
      <c r="N2" s="2" t="s">
        <v>35</v>
      </c>
      <c r="O2" s="2" t="s">
        <v>36</v>
      </c>
      <c r="P2" s="2" t="s">
        <v>37</v>
      </c>
      <c r="Q2" s="2" t="s">
        <v>38</v>
      </c>
      <c r="R2" s="2" t="s">
        <v>39</v>
      </c>
      <c r="S2" s="3" t="s">
        <v>40</v>
      </c>
    </row>
    <row r="3" spans="1:19" x14ac:dyDescent="0.25">
      <c r="A3" s="10" t="s">
        <v>48</v>
      </c>
      <c r="B3" s="11" t="s">
        <v>7</v>
      </c>
      <c r="C3">
        <f>LOOKUP('Hypothèses et Graphiques'!D$6,'Liste solde migratoire Hom'!$C$1:$AH$1,'Liste solde migratoire Hom'!$C2:$AH2)</f>
        <v>0</v>
      </c>
      <c r="D3">
        <f>LOOKUP('Hypothèses et Graphiques'!E$6,'Liste solde migratoire Hom'!$C$1:$AH$1,'Liste solde migratoire Hom'!$C2:$AH2)</f>
        <v>0</v>
      </c>
      <c r="E3">
        <f>LOOKUP('Hypothèses et Graphiques'!F$6,'Liste solde migratoire Hom'!$C$1:$AH$1,'Liste solde migratoire Hom'!$C2:$AH2)</f>
        <v>0</v>
      </c>
      <c r="F3">
        <f>LOOKUP('Hypothèses et Graphiques'!G$6,'Liste solde migratoire Hom'!$C$1:$AH$1,'Liste solde migratoire Hom'!$C2:$AH2)</f>
        <v>0</v>
      </c>
      <c r="G3">
        <f>LOOKUP('Hypothèses et Graphiques'!H$6,'Liste solde migratoire Hom'!$C$1:$AH$1,'Liste solde migratoire Hom'!$C2:$AH2)</f>
        <v>0</v>
      </c>
      <c r="H3">
        <f>LOOKUP('Hypothèses et Graphiques'!I$6,'Liste solde migratoire Hom'!$C$1:$AH$1,'Liste solde migratoire Hom'!$C2:$AH2)</f>
        <v>0</v>
      </c>
      <c r="I3">
        <f>LOOKUP('Hypothèses et Graphiques'!J$6,'Liste solde migratoire Hom'!$C$1:$AH$1,'Liste solde migratoire Hom'!$C2:$AH2)</f>
        <v>0</v>
      </c>
      <c r="J3">
        <f>LOOKUP('Hypothèses et Graphiques'!K$6,'Liste solde migratoire Hom'!$C$1:$AH$1,'Liste solde migratoire Hom'!$C2:$AH2)</f>
        <v>0</v>
      </c>
      <c r="K3">
        <f>LOOKUP('Hypothèses et Graphiques'!L$6,'Liste solde migratoire Hom'!$C$1:$AH$1,'Liste solde migratoire Hom'!$C2:$AH2)</f>
        <v>0</v>
      </c>
      <c r="L3">
        <f>LOOKUP('Hypothèses et Graphiques'!M$6,'Liste solde migratoire Hom'!$C$1:$AH$1,'Liste solde migratoire Hom'!$C2:$AH2)</f>
        <v>0</v>
      </c>
      <c r="M3">
        <f>LOOKUP('Hypothèses et Graphiques'!N$6,'Liste solde migratoire Hom'!$C$1:$AH$1,'Liste solde migratoire Hom'!$C2:$AH2)</f>
        <v>0</v>
      </c>
      <c r="N3">
        <f>LOOKUP('Hypothèses et Graphiques'!O$6,'Liste solde migratoire Hom'!$C$1:$AH$1,'Liste solde migratoire Hom'!$C2:$AH2)</f>
        <v>0</v>
      </c>
      <c r="O3">
        <f>LOOKUP('Hypothèses et Graphiques'!P$6,'Liste solde migratoire Hom'!$C$1:$AH$1,'Liste solde migratoire Hom'!$C2:$AH2)</f>
        <v>0</v>
      </c>
      <c r="P3">
        <f>LOOKUP('Hypothèses et Graphiques'!Q$6,'Liste solde migratoire Hom'!$C$1:$AH$1,'Liste solde migratoire Hom'!$C2:$AH2)</f>
        <v>0</v>
      </c>
      <c r="Q3">
        <f>LOOKUP('Hypothèses et Graphiques'!R$6,'Liste solde migratoire Hom'!$C$1:$AH$1,'Liste solde migratoire Hom'!$C2:$AH2)</f>
        <v>0</v>
      </c>
      <c r="R3">
        <f>LOOKUP('Hypothèses et Graphiques'!S$6,'Liste solde migratoire Hom'!$C$1:$AH$1,'Liste solde migratoire Hom'!$C2:$AH2)</f>
        <v>0</v>
      </c>
      <c r="S3">
        <f>LOOKUP('Hypothèses et Graphiques'!T$6,'Liste solde migratoire Hom'!$C$1:$AH$1,'Liste solde migratoire Hom'!$C2:$AH2)</f>
        <v>0</v>
      </c>
    </row>
    <row r="4" spans="1:19" x14ac:dyDescent="0.25">
      <c r="A4" s="5" t="s">
        <v>7</v>
      </c>
      <c r="B4" s="12" t="s">
        <v>8</v>
      </c>
      <c r="C4">
        <f>LOOKUP('Hypothèses et Graphiques'!D$6,'Liste solde migratoire Hom'!$C$1:$AH$1,'Liste solde migratoire Hom'!$C3:$AH3)</f>
        <v>0</v>
      </c>
      <c r="D4">
        <f>LOOKUP('Hypothèses et Graphiques'!E$6,'Liste solde migratoire Hom'!$C$1:$AH$1,'Liste solde migratoire Hom'!$C3:$AH3)</f>
        <v>0</v>
      </c>
      <c r="E4">
        <f>LOOKUP('Hypothèses et Graphiques'!F$6,'Liste solde migratoire Hom'!$C$1:$AH$1,'Liste solde migratoire Hom'!$C3:$AH3)</f>
        <v>0</v>
      </c>
      <c r="F4">
        <f>LOOKUP('Hypothèses et Graphiques'!G$6,'Liste solde migratoire Hom'!$C$1:$AH$1,'Liste solde migratoire Hom'!$C3:$AH3)</f>
        <v>0</v>
      </c>
      <c r="G4">
        <f>LOOKUP('Hypothèses et Graphiques'!H$6,'Liste solde migratoire Hom'!$C$1:$AH$1,'Liste solde migratoire Hom'!$C3:$AH3)</f>
        <v>0</v>
      </c>
      <c r="H4">
        <f>LOOKUP('Hypothèses et Graphiques'!I$6,'Liste solde migratoire Hom'!$C$1:$AH$1,'Liste solde migratoire Hom'!$C3:$AH3)</f>
        <v>0</v>
      </c>
      <c r="I4">
        <f>LOOKUP('Hypothèses et Graphiques'!J$6,'Liste solde migratoire Hom'!$C$1:$AH$1,'Liste solde migratoire Hom'!$C3:$AH3)</f>
        <v>0</v>
      </c>
      <c r="J4">
        <f>LOOKUP('Hypothèses et Graphiques'!K$6,'Liste solde migratoire Hom'!$C$1:$AH$1,'Liste solde migratoire Hom'!$C3:$AH3)</f>
        <v>0</v>
      </c>
      <c r="K4">
        <f>LOOKUP('Hypothèses et Graphiques'!L$6,'Liste solde migratoire Hom'!$C$1:$AH$1,'Liste solde migratoire Hom'!$C3:$AH3)</f>
        <v>0</v>
      </c>
      <c r="L4">
        <f>LOOKUP('Hypothèses et Graphiques'!M$6,'Liste solde migratoire Hom'!$C$1:$AH$1,'Liste solde migratoire Hom'!$C3:$AH3)</f>
        <v>0</v>
      </c>
      <c r="M4">
        <f>LOOKUP('Hypothèses et Graphiques'!N$6,'Liste solde migratoire Hom'!$C$1:$AH$1,'Liste solde migratoire Hom'!$C3:$AH3)</f>
        <v>0</v>
      </c>
      <c r="N4">
        <f>LOOKUP('Hypothèses et Graphiques'!O$6,'Liste solde migratoire Hom'!$C$1:$AH$1,'Liste solde migratoire Hom'!$C3:$AH3)</f>
        <v>0</v>
      </c>
      <c r="O4">
        <f>LOOKUP('Hypothèses et Graphiques'!P$6,'Liste solde migratoire Hom'!$C$1:$AH$1,'Liste solde migratoire Hom'!$C3:$AH3)</f>
        <v>0</v>
      </c>
      <c r="P4">
        <f>LOOKUP('Hypothèses et Graphiques'!Q$6,'Liste solde migratoire Hom'!$C$1:$AH$1,'Liste solde migratoire Hom'!$C3:$AH3)</f>
        <v>0</v>
      </c>
      <c r="Q4">
        <f>LOOKUP('Hypothèses et Graphiques'!R$6,'Liste solde migratoire Hom'!$C$1:$AH$1,'Liste solde migratoire Hom'!$C3:$AH3)</f>
        <v>0</v>
      </c>
      <c r="R4">
        <f>LOOKUP('Hypothèses et Graphiques'!S$6,'Liste solde migratoire Hom'!$C$1:$AH$1,'Liste solde migratoire Hom'!$C3:$AH3)</f>
        <v>0</v>
      </c>
      <c r="S4">
        <f>LOOKUP('Hypothèses et Graphiques'!T$6,'Liste solde migratoire Hom'!$C$1:$AH$1,'Liste solde migratoire Hom'!$C3:$AH3)</f>
        <v>0</v>
      </c>
    </row>
    <row r="5" spans="1:19" x14ac:dyDescent="0.25">
      <c r="A5" s="5" t="s">
        <v>8</v>
      </c>
      <c r="B5" s="13" t="s">
        <v>9</v>
      </c>
      <c r="C5">
        <f>LOOKUP('Hypothèses et Graphiques'!D$6,'Liste solde migratoire Hom'!$C$1:$AH$1,'Liste solde migratoire Hom'!$C4:$AH4)</f>
        <v>0</v>
      </c>
      <c r="D5">
        <f>LOOKUP('Hypothèses et Graphiques'!E$6,'Liste solde migratoire Hom'!$C$1:$AH$1,'Liste solde migratoire Hom'!$C4:$AH4)</f>
        <v>0</v>
      </c>
      <c r="E5">
        <f>LOOKUP('Hypothèses et Graphiques'!F$6,'Liste solde migratoire Hom'!$C$1:$AH$1,'Liste solde migratoire Hom'!$C4:$AH4)</f>
        <v>0</v>
      </c>
      <c r="F5">
        <f>LOOKUP('Hypothèses et Graphiques'!G$6,'Liste solde migratoire Hom'!$C$1:$AH$1,'Liste solde migratoire Hom'!$C4:$AH4)</f>
        <v>0</v>
      </c>
      <c r="G5">
        <f>LOOKUP('Hypothèses et Graphiques'!H$6,'Liste solde migratoire Hom'!$C$1:$AH$1,'Liste solde migratoire Hom'!$C4:$AH4)</f>
        <v>0</v>
      </c>
      <c r="H5">
        <f>LOOKUP('Hypothèses et Graphiques'!I$6,'Liste solde migratoire Hom'!$C$1:$AH$1,'Liste solde migratoire Hom'!$C4:$AH4)</f>
        <v>0</v>
      </c>
      <c r="I5">
        <f>LOOKUP('Hypothèses et Graphiques'!J$6,'Liste solde migratoire Hom'!$C$1:$AH$1,'Liste solde migratoire Hom'!$C4:$AH4)</f>
        <v>0</v>
      </c>
      <c r="J5">
        <f>LOOKUP('Hypothèses et Graphiques'!K$6,'Liste solde migratoire Hom'!$C$1:$AH$1,'Liste solde migratoire Hom'!$C4:$AH4)</f>
        <v>0</v>
      </c>
      <c r="K5">
        <f>LOOKUP('Hypothèses et Graphiques'!L$6,'Liste solde migratoire Hom'!$C$1:$AH$1,'Liste solde migratoire Hom'!$C4:$AH4)</f>
        <v>0</v>
      </c>
      <c r="L5">
        <f>LOOKUP('Hypothèses et Graphiques'!M$6,'Liste solde migratoire Hom'!$C$1:$AH$1,'Liste solde migratoire Hom'!$C4:$AH4)</f>
        <v>0</v>
      </c>
      <c r="M5">
        <f>LOOKUP('Hypothèses et Graphiques'!N$6,'Liste solde migratoire Hom'!$C$1:$AH$1,'Liste solde migratoire Hom'!$C4:$AH4)</f>
        <v>0</v>
      </c>
      <c r="N5">
        <f>LOOKUP('Hypothèses et Graphiques'!O$6,'Liste solde migratoire Hom'!$C$1:$AH$1,'Liste solde migratoire Hom'!$C4:$AH4)</f>
        <v>0</v>
      </c>
      <c r="O5">
        <f>LOOKUP('Hypothèses et Graphiques'!P$6,'Liste solde migratoire Hom'!$C$1:$AH$1,'Liste solde migratoire Hom'!$C4:$AH4)</f>
        <v>0</v>
      </c>
      <c r="P5">
        <f>LOOKUP('Hypothèses et Graphiques'!Q$6,'Liste solde migratoire Hom'!$C$1:$AH$1,'Liste solde migratoire Hom'!$C4:$AH4)</f>
        <v>0</v>
      </c>
      <c r="Q5">
        <f>LOOKUP('Hypothèses et Graphiques'!R$6,'Liste solde migratoire Hom'!$C$1:$AH$1,'Liste solde migratoire Hom'!$C4:$AH4)</f>
        <v>0</v>
      </c>
      <c r="R5">
        <f>LOOKUP('Hypothèses et Graphiques'!S$6,'Liste solde migratoire Hom'!$C$1:$AH$1,'Liste solde migratoire Hom'!$C4:$AH4)</f>
        <v>0</v>
      </c>
      <c r="S5">
        <f>LOOKUP('Hypothèses et Graphiques'!T$6,'Liste solde migratoire Hom'!$C$1:$AH$1,'Liste solde migratoire Hom'!$C4:$AH4)</f>
        <v>0</v>
      </c>
    </row>
    <row r="6" spans="1:19" x14ac:dyDescent="0.25">
      <c r="A6" s="5" t="s">
        <v>9</v>
      </c>
      <c r="B6" s="5" t="s">
        <v>0</v>
      </c>
      <c r="C6">
        <f>LOOKUP('Hypothèses et Graphiques'!D$6,'Liste solde migratoire Hom'!$C$1:$AH$1,'Liste solde migratoire Hom'!$C5:$AH5)</f>
        <v>0</v>
      </c>
      <c r="D6">
        <f>LOOKUP('Hypothèses et Graphiques'!E$6,'Liste solde migratoire Hom'!$C$1:$AH$1,'Liste solde migratoire Hom'!$C5:$AH5)</f>
        <v>0</v>
      </c>
      <c r="E6">
        <f>LOOKUP('Hypothèses et Graphiques'!F$6,'Liste solde migratoire Hom'!$C$1:$AH$1,'Liste solde migratoire Hom'!$C5:$AH5)</f>
        <v>0</v>
      </c>
      <c r="F6">
        <f>LOOKUP('Hypothèses et Graphiques'!G$6,'Liste solde migratoire Hom'!$C$1:$AH$1,'Liste solde migratoire Hom'!$C5:$AH5)</f>
        <v>0</v>
      </c>
      <c r="G6">
        <f>LOOKUP('Hypothèses et Graphiques'!H$6,'Liste solde migratoire Hom'!$C$1:$AH$1,'Liste solde migratoire Hom'!$C5:$AH5)</f>
        <v>0</v>
      </c>
      <c r="H6">
        <f>LOOKUP('Hypothèses et Graphiques'!I$6,'Liste solde migratoire Hom'!$C$1:$AH$1,'Liste solde migratoire Hom'!$C5:$AH5)</f>
        <v>0</v>
      </c>
      <c r="I6">
        <f>LOOKUP('Hypothèses et Graphiques'!J$6,'Liste solde migratoire Hom'!$C$1:$AH$1,'Liste solde migratoire Hom'!$C5:$AH5)</f>
        <v>0</v>
      </c>
      <c r="J6">
        <f>LOOKUP('Hypothèses et Graphiques'!K$6,'Liste solde migratoire Hom'!$C$1:$AH$1,'Liste solde migratoire Hom'!$C5:$AH5)</f>
        <v>0</v>
      </c>
      <c r="K6">
        <f>LOOKUP('Hypothèses et Graphiques'!L$6,'Liste solde migratoire Hom'!$C$1:$AH$1,'Liste solde migratoire Hom'!$C5:$AH5)</f>
        <v>0</v>
      </c>
      <c r="L6">
        <f>LOOKUP('Hypothèses et Graphiques'!M$6,'Liste solde migratoire Hom'!$C$1:$AH$1,'Liste solde migratoire Hom'!$C5:$AH5)</f>
        <v>0</v>
      </c>
      <c r="M6">
        <f>LOOKUP('Hypothèses et Graphiques'!N$6,'Liste solde migratoire Hom'!$C$1:$AH$1,'Liste solde migratoire Hom'!$C5:$AH5)</f>
        <v>0</v>
      </c>
      <c r="N6">
        <f>LOOKUP('Hypothèses et Graphiques'!O$6,'Liste solde migratoire Hom'!$C$1:$AH$1,'Liste solde migratoire Hom'!$C5:$AH5)</f>
        <v>0</v>
      </c>
      <c r="O6">
        <f>LOOKUP('Hypothèses et Graphiques'!P$6,'Liste solde migratoire Hom'!$C$1:$AH$1,'Liste solde migratoire Hom'!$C5:$AH5)</f>
        <v>0</v>
      </c>
      <c r="P6">
        <f>LOOKUP('Hypothèses et Graphiques'!Q$6,'Liste solde migratoire Hom'!$C$1:$AH$1,'Liste solde migratoire Hom'!$C5:$AH5)</f>
        <v>0</v>
      </c>
      <c r="Q6">
        <f>LOOKUP('Hypothèses et Graphiques'!R$6,'Liste solde migratoire Hom'!$C$1:$AH$1,'Liste solde migratoire Hom'!$C5:$AH5)</f>
        <v>0</v>
      </c>
      <c r="R6">
        <f>LOOKUP('Hypothèses et Graphiques'!S$6,'Liste solde migratoire Hom'!$C$1:$AH$1,'Liste solde migratoire Hom'!$C5:$AH5)</f>
        <v>0</v>
      </c>
      <c r="S6">
        <f>LOOKUP('Hypothèses et Graphiques'!T$6,'Liste solde migratoire Hom'!$C$1:$AH$1,'Liste solde migratoire Hom'!$C5:$AH5)</f>
        <v>0</v>
      </c>
    </row>
    <row r="7" spans="1:19" x14ac:dyDescent="0.25">
      <c r="A7" s="5" t="s">
        <v>0</v>
      </c>
      <c r="B7" s="5" t="s">
        <v>1</v>
      </c>
      <c r="C7">
        <f>LOOKUP('Hypothèses et Graphiques'!D$6,'Liste solde migratoire Hom'!$C$1:$AH$1,'Liste solde migratoire Hom'!$C6:$AH6)</f>
        <v>0</v>
      </c>
      <c r="D7">
        <f>LOOKUP('Hypothèses et Graphiques'!E$6,'Liste solde migratoire Hom'!$C$1:$AH$1,'Liste solde migratoire Hom'!$C6:$AH6)</f>
        <v>0</v>
      </c>
      <c r="E7">
        <f>LOOKUP('Hypothèses et Graphiques'!F$6,'Liste solde migratoire Hom'!$C$1:$AH$1,'Liste solde migratoire Hom'!$C6:$AH6)</f>
        <v>0</v>
      </c>
      <c r="F7">
        <f>LOOKUP('Hypothèses et Graphiques'!G$6,'Liste solde migratoire Hom'!$C$1:$AH$1,'Liste solde migratoire Hom'!$C6:$AH6)</f>
        <v>0</v>
      </c>
      <c r="G7">
        <f>LOOKUP('Hypothèses et Graphiques'!H$6,'Liste solde migratoire Hom'!$C$1:$AH$1,'Liste solde migratoire Hom'!$C6:$AH6)</f>
        <v>0</v>
      </c>
      <c r="H7">
        <f>LOOKUP('Hypothèses et Graphiques'!I$6,'Liste solde migratoire Hom'!$C$1:$AH$1,'Liste solde migratoire Hom'!$C6:$AH6)</f>
        <v>0</v>
      </c>
      <c r="I7">
        <f>LOOKUP('Hypothèses et Graphiques'!J$6,'Liste solde migratoire Hom'!$C$1:$AH$1,'Liste solde migratoire Hom'!$C6:$AH6)</f>
        <v>0</v>
      </c>
      <c r="J7">
        <f>LOOKUP('Hypothèses et Graphiques'!K$6,'Liste solde migratoire Hom'!$C$1:$AH$1,'Liste solde migratoire Hom'!$C6:$AH6)</f>
        <v>0</v>
      </c>
      <c r="K7">
        <f>LOOKUP('Hypothèses et Graphiques'!L$6,'Liste solde migratoire Hom'!$C$1:$AH$1,'Liste solde migratoire Hom'!$C6:$AH6)</f>
        <v>0</v>
      </c>
      <c r="L7">
        <f>LOOKUP('Hypothèses et Graphiques'!M$6,'Liste solde migratoire Hom'!$C$1:$AH$1,'Liste solde migratoire Hom'!$C6:$AH6)</f>
        <v>0</v>
      </c>
      <c r="M7">
        <f>LOOKUP('Hypothèses et Graphiques'!N$6,'Liste solde migratoire Hom'!$C$1:$AH$1,'Liste solde migratoire Hom'!$C6:$AH6)</f>
        <v>0</v>
      </c>
      <c r="N7">
        <f>LOOKUP('Hypothèses et Graphiques'!O$6,'Liste solde migratoire Hom'!$C$1:$AH$1,'Liste solde migratoire Hom'!$C6:$AH6)</f>
        <v>0</v>
      </c>
      <c r="O7">
        <f>LOOKUP('Hypothèses et Graphiques'!P$6,'Liste solde migratoire Hom'!$C$1:$AH$1,'Liste solde migratoire Hom'!$C6:$AH6)</f>
        <v>0</v>
      </c>
      <c r="P7">
        <f>LOOKUP('Hypothèses et Graphiques'!Q$6,'Liste solde migratoire Hom'!$C$1:$AH$1,'Liste solde migratoire Hom'!$C6:$AH6)</f>
        <v>0</v>
      </c>
      <c r="Q7">
        <f>LOOKUP('Hypothèses et Graphiques'!R$6,'Liste solde migratoire Hom'!$C$1:$AH$1,'Liste solde migratoire Hom'!$C6:$AH6)</f>
        <v>0</v>
      </c>
      <c r="R7">
        <f>LOOKUP('Hypothèses et Graphiques'!S$6,'Liste solde migratoire Hom'!$C$1:$AH$1,'Liste solde migratoire Hom'!$C6:$AH6)</f>
        <v>0</v>
      </c>
      <c r="S7">
        <f>LOOKUP('Hypothèses et Graphiques'!T$6,'Liste solde migratoire Hom'!$C$1:$AH$1,'Liste solde migratoire Hom'!$C6:$AH6)</f>
        <v>0</v>
      </c>
    </row>
    <row r="8" spans="1:19" x14ac:dyDescent="0.25">
      <c r="A8" s="5" t="s">
        <v>1</v>
      </c>
      <c r="B8" s="5" t="s">
        <v>2</v>
      </c>
      <c r="C8">
        <f>LOOKUP('Hypothèses et Graphiques'!D$6,'Liste solde migratoire Hom'!$C$1:$AH$1,'Liste solde migratoire Hom'!$C7:$AH7)</f>
        <v>0</v>
      </c>
      <c r="D8">
        <f>LOOKUP('Hypothèses et Graphiques'!E$6,'Liste solde migratoire Hom'!$C$1:$AH$1,'Liste solde migratoire Hom'!$C7:$AH7)</f>
        <v>0</v>
      </c>
      <c r="E8">
        <f>LOOKUP('Hypothèses et Graphiques'!F$6,'Liste solde migratoire Hom'!$C$1:$AH$1,'Liste solde migratoire Hom'!$C7:$AH7)</f>
        <v>0</v>
      </c>
      <c r="F8">
        <f>LOOKUP('Hypothèses et Graphiques'!G$6,'Liste solde migratoire Hom'!$C$1:$AH$1,'Liste solde migratoire Hom'!$C7:$AH7)</f>
        <v>0</v>
      </c>
      <c r="G8">
        <f>LOOKUP('Hypothèses et Graphiques'!H$6,'Liste solde migratoire Hom'!$C$1:$AH$1,'Liste solde migratoire Hom'!$C7:$AH7)</f>
        <v>0</v>
      </c>
      <c r="H8">
        <f>LOOKUP('Hypothèses et Graphiques'!I$6,'Liste solde migratoire Hom'!$C$1:$AH$1,'Liste solde migratoire Hom'!$C7:$AH7)</f>
        <v>0</v>
      </c>
      <c r="I8">
        <f>LOOKUP('Hypothèses et Graphiques'!J$6,'Liste solde migratoire Hom'!$C$1:$AH$1,'Liste solde migratoire Hom'!$C7:$AH7)</f>
        <v>0</v>
      </c>
      <c r="J8">
        <f>LOOKUP('Hypothèses et Graphiques'!K$6,'Liste solde migratoire Hom'!$C$1:$AH$1,'Liste solde migratoire Hom'!$C7:$AH7)</f>
        <v>0</v>
      </c>
      <c r="K8">
        <f>LOOKUP('Hypothèses et Graphiques'!L$6,'Liste solde migratoire Hom'!$C$1:$AH$1,'Liste solde migratoire Hom'!$C7:$AH7)</f>
        <v>0</v>
      </c>
      <c r="L8">
        <f>LOOKUP('Hypothèses et Graphiques'!M$6,'Liste solde migratoire Hom'!$C$1:$AH$1,'Liste solde migratoire Hom'!$C7:$AH7)</f>
        <v>0</v>
      </c>
      <c r="M8">
        <f>LOOKUP('Hypothèses et Graphiques'!N$6,'Liste solde migratoire Hom'!$C$1:$AH$1,'Liste solde migratoire Hom'!$C7:$AH7)</f>
        <v>0</v>
      </c>
      <c r="N8">
        <f>LOOKUP('Hypothèses et Graphiques'!O$6,'Liste solde migratoire Hom'!$C$1:$AH$1,'Liste solde migratoire Hom'!$C7:$AH7)</f>
        <v>0</v>
      </c>
      <c r="O8">
        <f>LOOKUP('Hypothèses et Graphiques'!P$6,'Liste solde migratoire Hom'!$C$1:$AH$1,'Liste solde migratoire Hom'!$C7:$AH7)</f>
        <v>0</v>
      </c>
      <c r="P8">
        <f>LOOKUP('Hypothèses et Graphiques'!Q$6,'Liste solde migratoire Hom'!$C$1:$AH$1,'Liste solde migratoire Hom'!$C7:$AH7)</f>
        <v>0</v>
      </c>
      <c r="Q8">
        <f>LOOKUP('Hypothèses et Graphiques'!R$6,'Liste solde migratoire Hom'!$C$1:$AH$1,'Liste solde migratoire Hom'!$C7:$AH7)</f>
        <v>0</v>
      </c>
      <c r="R8">
        <f>LOOKUP('Hypothèses et Graphiques'!S$6,'Liste solde migratoire Hom'!$C$1:$AH$1,'Liste solde migratoire Hom'!$C7:$AH7)</f>
        <v>0</v>
      </c>
      <c r="S8">
        <f>LOOKUP('Hypothèses et Graphiques'!T$6,'Liste solde migratoire Hom'!$C$1:$AH$1,'Liste solde migratoire Hom'!$C7:$AH7)</f>
        <v>0</v>
      </c>
    </row>
    <row r="9" spans="1:19" x14ac:dyDescent="0.25">
      <c r="A9" s="5" t="s">
        <v>2</v>
      </c>
      <c r="B9" s="5" t="s">
        <v>3</v>
      </c>
      <c r="C9">
        <f>LOOKUP('Hypothèses et Graphiques'!D$6,'Liste solde migratoire Hom'!$C$1:$AH$1,'Liste solde migratoire Hom'!$C8:$AH8)</f>
        <v>0</v>
      </c>
      <c r="D9">
        <f>LOOKUP('Hypothèses et Graphiques'!E$6,'Liste solde migratoire Hom'!$C$1:$AH$1,'Liste solde migratoire Hom'!$C8:$AH8)</f>
        <v>0</v>
      </c>
      <c r="E9">
        <f>LOOKUP('Hypothèses et Graphiques'!F$6,'Liste solde migratoire Hom'!$C$1:$AH$1,'Liste solde migratoire Hom'!$C8:$AH8)</f>
        <v>0</v>
      </c>
      <c r="F9">
        <f>LOOKUP('Hypothèses et Graphiques'!G$6,'Liste solde migratoire Hom'!$C$1:$AH$1,'Liste solde migratoire Hom'!$C8:$AH8)</f>
        <v>0</v>
      </c>
      <c r="G9">
        <f>LOOKUP('Hypothèses et Graphiques'!H$6,'Liste solde migratoire Hom'!$C$1:$AH$1,'Liste solde migratoire Hom'!$C8:$AH8)</f>
        <v>0</v>
      </c>
      <c r="H9">
        <f>LOOKUP('Hypothèses et Graphiques'!I$6,'Liste solde migratoire Hom'!$C$1:$AH$1,'Liste solde migratoire Hom'!$C8:$AH8)</f>
        <v>0</v>
      </c>
      <c r="I9">
        <f>LOOKUP('Hypothèses et Graphiques'!J$6,'Liste solde migratoire Hom'!$C$1:$AH$1,'Liste solde migratoire Hom'!$C8:$AH8)</f>
        <v>0</v>
      </c>
      <c r="J9">
        <f>LOOKUP('Hypothèses et Graphiques'!K$6,'Liste solde migratoire Hom'!$C$1:$AH$1,'Liste solde migratoire Hom'!$C8:$AH8)</f>
        <v>0</v>
      </c>
      <c r="K9">
        <f>LOOKUP('Hypothèses et Graphiques'!L$6,'Liste solde migratoire Hom'!$C$1:$AH$1,'Liste solde migratoire Hom'!$C8:$AH8)</f>
        <v>0</v>
      </c>
      <c r="L9">
        <f>LOOKUP('Hypothèses et Graphiques'!M$6,'Liste solde migratoire Hom'!$C$1:$AH$1,'Liste solde migratoire Hom'!$C8:$AH8)</f>
        <v>0</v>
      </c>
      <c r="M9">
        <f>LOOKUP('Hypothèses et Graphiques'!N$6,'Liste solde migratoire Hom'!$C$1:$AH$1,'Liste solde migratoire Hom'!$C8:$AH8)</f>
        <v>0</v>
      </c>
      <c r="N9">
        <f>LOOKUP('Hypothèses et Graphiques'!O$6,'Liste solde migratoire Hom'!$C$1:$AH$1,'Liste solde migratoire Hom'!$C8:$AH8)</f>
        <v>0</v>
      </c>
      <c r="O9">
        <f>LOOKUP('Hypothèses et Graphiques'!P$6,'Liste solde migratoire Hom'!$C$1:$AH$1,'Liste solde migratoire Hom'!$C8:$AH8)</f>
        <v>0</v>
      </c>
      <c r="P9">
        <f>LOOKUP('Hypothèses et Graphiques'!Q$6,'Liste solde migratoire Hom'!$C$1:$AH$1,'Liste solde migratoire Hom'!$C8:$AH8)</f>
        <v>0</v>
      </c>
      <c r="Q9">
        <f>LOOKUP('Hypothèses et Graphiques'!R$6,'Liste solde migratoire Hom'!$C$1:$AH$1,'Liste solde migratoire Hom'!$C8:$AH8)</f>
        <v>0</v>
      </c>
      <c r="R9">
        <f>LOOKUP('Hypothèses et Graphiques'!S$6,'Liste solde migratoire Hom'!$C$1:$AH$1,'Liste solde migratoire Hom'!$C8:$AH8)</f>
        <v>0</v>
      </c>
      <c r="S9">
        <f>LOOKUP('Hypothèses et Graphiques'!T$6,'Liste solde migratoire Hom'!$C$1:$AH$1,'Liste solde migratoire Hom'!$C8:$AH8)</f>
        <v>0</v>
      </c>
    </row>
    <row r="10" spans="1:19" x14ac:dyDescent="0.25">
      <c r="A10" s="5" t="s">
        <v>3</v>
      </c>
      <c r="B10" s="5" t="s">
        <v>4</v>
      </c>
      <c r="C10">
        <f>LOOKUP('Hypothèses et Graphiques'!D$6,'Liste solde migratoire Hom'!$C$1:$AH$1,'Liste solde migratoire Hom'!$C9:$AH9)</f>
        <v>0</v>
      </c>
      <c r="D10">
        <f>LOOKUP('Hypothèses et Graphiques'!E$6,'Liste solde migratoire Hom'!$C$1:$AH$1,'Liste solde migratoire Hom'!$C9:$AH9)</f>
        <v>0</v>
      </c>
      <c r="E10">
        <f>LOOKUP('Hypothèses et Graphiques'!F$6,'Liste solde migratoire Hom'!$C$1:$AH$1,'Liste solde migratoire Hom'!$C9:$AH9)</f>
        <v>0</v>
      </c>
      <c r="F10">
        <f>LOOKUP('Hypothèses et Graphiques'!G$6,'Liste solde migratoire Hom'!$C$1:$AH$1,'Liste solde migratoire Hom'!$C9:$AH9)</f>
        <v>0</v>
      </c>
      <c r="G10">
        <f>LOOKUP('Hypothèses et Graphiques'!H$6,'Liste solde migratoire Hom'!$C$1:$AH$1,'Liste solde migratoire Hom'!$C9:$AH9)</f>
        <v>0</v>
      </c>
      <c r="H10">
        <f>LOOKUP('Hypothèses et Graphiques'!I$6,'Liste solde migratoire Hom'!$C$1:$AH$1,'Liste solde migratoire Hom'!$C9:$AH9)</f>
        <v>0</v>
      </c>
      <c r="I10">
        <f>LOOKUP('Hypothèses et Graphiques'!J$6,'Liste solde migratoire Hom'!$C$1:$AH$1,'Liste solde migratoire Hom'!$C9:$AH9)</f>
        <v>0</v>
      </c>
      <c r="J10">
        <f>LOOKUP('Hypothèses et Graphiques'!K$6,'Liste solde migratoire Hom'!$C$1:$AH$1,'Liste solde migratoire Hom'!$C9:$AH9)</f>
        <v>0</v>
      </c>
      <c r="K10">
        <f>LOOKUP('Hypothèses et Graphiques'!L$6,'Liste solde migratoire Hom'!$C$1:$AH$1,'Liste solde migratoire Hom'!$C9:$AH9)</f>
        <v>0</v>
      </c>
      <c r="L10">
        <f>LOOKUP('Hypothèses et Graphiques'!M$6,'Liste solde migratoire Hom'!$C$1:$AH$1,'Liste solde migratoire Hom'!$C9:$AH9)</f>
        <v>0</v>
      </c>
      <c r="M10">
        <f>LOOKUP('Hypothèses et Graphiques'!N$6,'Liste solde migratoire Hom'!$C$1:$AH$1,'Liste solde migratoire Hom'!$C9:$AH9)</f>
        <v>0</v>
      </c>
      <c r="N10">
        <f>LOOKUP('Hypothèses et Graphiques'!O$6,'Liste solde migratoire Hom'!$C$1:$AH$1,'Liste solde migratoire Hom'!$C9:$AH9)</f>
        <v>0</v>
      </c>
      <c r="O10">
        <f>LOOKUP('Hypothèses et Graphiques'!P$6,'Liste solde migratoire Hom'!$C$1:$AH$1,'Liste solde migratoire Hom'!$C9:$AH9)</f>
        <v>0</v>
      </c>
      <c r="P10">
        <f>LOOKUP('Hypothèses et Graphiques'!Q$6,'Liste solde migratoire Hom'!$C$1:$AH$1,'Liste solde migratoire Hom'!$C9:$AH9)</f>
        <v>0</v>
      </c>
      <c r="Q10">
        <f>LOOKUP('Hypothèses et Graphiques'!R$6,'Liste solde migratoire Hom'!$C$1:$AH$1,'Liste solde migratoire Hom'!$C9:$AH9)</f>
        <v>0</v>
      </c>
      <c r="R10">
        <f>LOOKUP('Hypothèses et Graphiques'!S$6,'Liste solde migratoire Hom'!$C$1:$AH$1,'Liste solde migratoire Hom'!$C9:$AH9)</f>
        <v>0</v>
      </c>
      <c r="S10">
        <f>LOOKUP('Hypothèses et Graphiques'!T$6,'Liste solde migratoire Hom'!$C$1:$AH$1,'Liste solde migratoire Hom'!$C9:$AH9)</f>
        <v>0</v>
      </c>
    </row>
    <row r="11" spans="1:19" x14ac:dyDescent="0.25">
      <c r="A11" s="5" t="s">
        <v>4</v>
      </c>
      <c r="B11" s="5" t="s">
        <v>5</v>
      </c>
      <c r="C11">
        <f>LOOKUP('Hypothèses et Graphiques'!D$6,'Liste solde migratoire Hom'!$C$1:$AH$1,'Liste solde migratoire Hom'!$C10:$AH10)</f>
        <v>0</v>
      </c>
      <c r="D11">
        <f>LOOKUP('Hypothèses et Graphiques'!E$6,'Liste solde migratoire Hom'!$C$1:$AH$1,'Liste solde migratoire Hom'!$C10:$AH10)</f>
        <v>0</v>
      </c>
      <c r="E11">
        <f>LOOKUP('Hypothèses et Graphiques'!F$6,'Liste solde migratoire Hom'!$C$1:$AH$1,'Liste solde migratoire Hom'!$C10:$AH10)</f>
        <v>0</v>
      </c>
      <c r="F11">
        <f>LOOKUP('Hypothèses et Graphiques'!G$6,'Liste solde migratoire Hom'!$C$1:$AH$1,'Liste solde migratoire Hom'!$C10:$AH10)</f>
        <v>0</v>
      </c>
      <c r="G11">
        <f>LOOKUP('Hypothèses et Graphiques'!H$6,'Liste solde migratoire Hom'!$C$1:$AH$1,'Liste solde migratoire Hom'!$C10:$AH10)</f>
        <v>0</v>
      </c>
      <c r="H11">
        <f>LOOKUP('Hypothèses et Graphiques'!I$6,'Liste solde migratoire Hom'!$C$1:$AH$1,'Liste solde migratoire Hom'!$C10:$AH10)</f>
        <v>0</v>
      </c>
      <c r="I11">
        <f>LOOKUP('Hypothèses et Graphiques'!J$6,'Liste solde migratoire Hom'!$C$1:$AH$1,'Liste solde migratoire Hom'!$C10:$AH10)</f>
        <v>0</v>
      </c>
      <c r="J11">
        <f>LOOKUP('Hypothèses et Graphiques'!K$6,'Liste solde migratoire Hom'!$C$1:$AH$1,'Liste solde migratoire Hom'!$C10:$AH10)</f>
        <v>0</v>
      </c>
      <c r="K11">
        <f>LOOKUP('Hypothèses et Graphiques'!L$6,'Liste solde migratoire Hom'!$C$1:$AH$1,'Liste solde migratoire Hom'!$C10:$AH10)</f>
        <v>0</v>
      </c>
      <c r="L11">
        <f>LOOKUP('Hypothèses et Graphiques'!M$6,'Liste solde migratoire Hom'!$C$1:$AH$1,'Liste solde migratoire Hom'!$C10:$AH10)</f>
        <v>0</v>
      </c>
      <c r="M11">
        <f>LOOKUP('Hypothèses et Graphiques'!N$6,'Liste solde migratoire Hom'!$C$1:$AH$1,'Liste solde migratoire Hom'!$C10:$AH10)</f>
        <v>0</v>
      </c>
      <c r="N11">
        <f>LOOKUP('Hypothèses et Graphiques'!O$6,'Liste solde migratoire Hom'!$C$1:$AH$1,'Liste solde migratoire Hom'!$C10:$AH10)</f>
        <v>0</v>
      </c>
      <c r="O11">
        <f>LOOKUP('Hypothèses et Graphiques'!P$6,'Liste solde migratoire Hom'!$C$1:$AH$1,'Liste solde migratoire Hom'!$C10:$AH10)</f>
        <v>0</v>
      </c>
      <c r="P11">
        <f>LOOKUP('Hypothèses et Graphiques'!Q$6,'Liste solde migratoire Hom'!$C$1:$AH$1,'Liste solde migratoire Hom'!$C10:$AH10)</f>
        <v>0</v>
      </c>
      <c r="Q11">
        <f>LOOKUP('Hypothèses et Graphiques'!R$6,'Liste solde migratoire Hom'!$C$1:$AH$1,'Liste solde migratoire Hom'!$C10:$AH10)</f>
        <v>0</v>
      </c>
      <c r="R11">
        <f>LOOKUP('Hypothèses et Graphiques'!S$6,'Liste solde migratoire Hom'!$C$1:$AH$1,'Liste solde migratoire Hom'!$C10:$AH10)</f>
        <v>0</v>
      </c>
      <c r="S11">
        <f>LOOKUP('Hypothèses et Graphiques'!T$6,'Liste solde migratoire Hom'!$C$1:$AH$1,'Liste solde migratoire Hom'!$C10:$AH10)</f>
        <v>0</v>
      </c>
    </row>
    <row r="12" spans="1:19" x14ac:dyDescent="0.25">
      <c r="A12" s="5" t="s">
        <v>5</v>
      </c>
      <c r="B12" s="5" t="s">
        <v>6</v>
      </c>
      <c r="C12">
        <f>LOOKUP('Hypothèses et Graphiques'!D$6,'Liste solde migratoire Hom'!$C$1:$AH$1,'Liste solde migratoire Hom'!$C11:$AH11)</f>
        <v>0</v>
      </c>
      <c r="D12">
        <f>LOOKUP('Hypothèses et Graphiques'!E$6,'Liste solde migratoire Hom'!$C$1:$AH$1,'Liste solde migratoire Hom'!$C11:$AH11)</f>
        <v>0</v>
      </c>
      <c r="E12">
        <f>LOOKUP('Hypothèses et Graphiques'!F$6,'Liste solde migratoire Hom'!$C$1:$AH$1,'Liste solde migratoire Hom'!$C11:$AH11)</f>
        <v>0</v>
      </c>
      <c r="F12">
        <f>LOOKUP('Hypothèses et Graphiques'!G$6,'Liste solde migratoire Hom'!$C$1:$AH$1,'Liste solde migratoire Hom'!$C11:$AH11)</f>
        <v>0</v>
      </c>
      <c r="G12">
        <f>LOOKUP('Hypothèses et Graphiques'!H$6,'Liste solde migratoire Hom'!$C$1:$AH$1,'Liste solde migratoire Hom'!$C11:$AH11)</f>
        <v>0</v>
      </c>
      <c r="H12">
        <f>LOOKUP('Hypothèses et Graphiques'!I$6,'Liste solde migratoire Hom'!$C$1:$AH$1,'Liste solde migratoire Hom'!$C11:$AH11)</f>
        <v>0</v>
      </c>
      <c r="I12">
        <f>LOOKUP('Hypothèses et Graphiques'!J$6,'Liste solde migratoire Hom'!$C$1:$AH$1,'Liste solde migratoire Hom'!$C11:$AH11)</f>
        <v>0</v>
      </c>
      <c r="J12">
        <f>LOOKUP('Hypothèses et Graphiques'!K$6,'Liste solde migratoire Hom'!$C$1:$AH$1,'Liste solde migratoire Hom'!$C11:$AH11)</f>
        <v>0</v>
      </c>
      <c r="K12">
        <f>LOOKUP('Hypothèses et Graphiques'!L$6,'Liste solde migratoire Hom'!$C$1:$AH$1,'Liste solde migratoire Hom'!$C11:$AH11)</f>
        <v>0</v>
      </c>
      <c r="L12">
        <f>LOOKUP('Hypothèses et Graphiques'!M$6,'Liste solde migratoire Hom'!$C$1:$AH$1,'Liste solde migratoire Hom'!$C11:$AH11)</f>
        <v>0</v>
      </c>
      <c r="M12">
        <f>LOOKUP('Hypothèses et Graphiques'!N$6,'Liste solde migratoire Hom'!$C$1:$AH$1,'Liste solde migratoire Hom'!$C11:$AH11)</f>
        <v>0</v>
      </c>
      <c r="N12">
        <f>LOOKUP('Hypothèses et Graphiques'!O$6,'Liste solde migratoire Hom'!$C$1:$AH$1,'Liste solde migratoire Hom'!$C11:$AH11)</f>
        <v>0</v>
      </c>
      <c r="O12">
        <f>LOOKUP('Hypothèses et Graphiques'!P$6,'Liste solde migratoire Hom'!$C$1:$AH$1,'Liste solde migratoire Hom'!$C11:$AH11)</f>
        <v>0</v>
      </c>
      <c r="P12">
        <f>LOOKUP('Hypothèses et Graphiques'!Q$6,'Liste solde migratoire Hom'!$C$1:$AH$1,'Liste solde migratoire Hom'!$C11:$AH11)</f>
        <v>0</v>
      </c>
      <c r="Q12">
        <f>LOOKUP('Hypothèses et Graphiques'!R$6,'Liste solde migratoire Hom'!$C$1:$AH$1,'Liste solde migratoire Hom'!$C11:$AH11)</f>
        <v>0</v>
      </c>
      <c r="R12">
        <f>LOOKUP('Hypothèses et Graphiques'!S$6,'Liste solde migratoire Hom'!$C$1:$AH$1,'Liste solde migratoire Hom'!$C11:$AH11)</f>
        <v>0</v>
      </c>
      <c r="S12">
        <f>LOOKUP('Hypothèses et Graphiques'!T$6,'Liste solde migratoire Hom'!$C$1:$AH$1,'Liste solde migratoire Hom'!$C11:$AH11)</f>
        <v>0</v>
      </c>
    </row>
    <row r="13" spans="1:19" x14ac:dyDescent="0.25">
      <c r="A13" s="5" t="s">
        <v>6</v>
      </c>
      <c r="B13" s="5" t="s">
        <v>10</v>
      </c>
      <c r="C13">
        <f>LOOKUP('Hypothèses et Graphiques'!D$6,'Liste solde migratoire Hom'!$C$1:$AH$1,'Liste solde migratoire Hom'!$C12:$AH12)</f>
        <v>0</v>
      </c>
      <c r="D13">
        <f>LOOKUP('Hypothèses et Graphiques'!E$6,'Liste solde migratoire Hom'!$C$1:$AH$1,'Liste solde migratoire Hom'!$C12:$AH12)</f>
        <v>0</v>
      </c>
      <c r="E13">
        <f>LOOKUP('Hypothèses et Graphiques'!F$6,'Liste solde migratoire Hom'!$C$1:$AH$1,'Liste solde migratoire Hom'!$C12:$AH12)</f>
        <v>0</v>
      </c>
      <c r="F13">
        <f>LOOKUP('Hypothèses et Graphiques'!G$6,'Liste solde migratoire Hom'!$C$1:$AH$1,'Liste solde migratoire Hom'!$C12:$AH12)</f>
        <v>0</v>
      </c>
      <c r="G13">
        <f>LOOKUP('Hypothèses et Graphiques'!H$6,'Liste solde migratoire Hom'!$C$1:$AH$1,'Liste solde migratoire Hom'!$C12:$AH12)</f>
        <v>0</v>
      </c>
      <c r="H13">
        <f>LOOKUP('Hypothèses et Graphiques'!I$6,'Liste solde migratoire Hom'!$C$1:$AH$1,'Liste solde migratoire Hom'!$C12:$AH12)</f>
        <v>0</v>
      </c>
      <c r="I13">
        <f>LOOKUP('Hypothèses et Graphiques'!J$6,'Liste solde migratoire Hom'!$C$1:$AH$1,'Liste solde migratoire Hom'!$C12:$AH12)</f>
        <v>0</v>
      </c>
      <c r="J13">
        <f>LOOKUP('Hypothèses et Graphiques'!K$6,'Liste solde migratoire Hom'!$C$1:$AH$1,'Liste solde migratoire Hom'!$C12:$AH12)</f>
        <v>0</v>
      </c>
      <c r="K13">
        <f>LOOKUP('Hypothèses et Graphiques'!L$6,'Liste solde migratoire Hom'!$C$1:$AH$1,'Liste solde migratoire Hom'!$C12:$AH12)</f>
        <v>0</v>
      </c>
      <c r="L13">
        <f>LOOKUP('Hypothèses et Graphiques'!M$6,'Liste solde migratoire Hom'!$C$1:$AH$1,'Liste solde migratoire Hom'!$C12:$AH12)</f>
        <v>0</v>
      </c>
      <c r="M13">
        <f>LOOKUP('Hypothèses et Graphiques'!N$6,'Liste solde migratoire Hom'!$C$1:$AH$1,'Liste solde migratoire Hom'!$C12:$AH12)</f>
        <v>0</v>
      </c>
      <c r="N13">
        <f>LOOKUP('Hypothèses et Graphiques'!O$6,'Liste solde migratoire Hom'!$C$1:$AH$1,'Liste solde migratoire Hom'!$C12:$AH12)</f>
        <v>0</v>
      </c>
      <c r="O13">
        <f>LOOKUP('Hypothèses et Graphiques'!P$6,'Liste solde migratoire Hom'!$C$1:$AH$1,'Liste solde migratoire Hom'!$C12:$AH12)</f>
        <v>0</v>
      </c>
      <c r="P13">
        <f>LOOKUP('Hypothèses et Graphiques'!Q$6,'Liste solde migratoire Hom'!$C$1:$AH$1,'Liste solde migratoire Hom'!$C12:$AH12)</f>
        <v>0</v>
      </c>
      <c r="Q13">
        <f>LOOKUP('Hypothèses et Graphiques'!R$6,'Liste solde migratoire Hom'!$C$1:$AH$1,'Liste solde migratoire Hom'!$C12:$AH12)</f>
        <v>0</v>
      </c>
      <c r="R13">
        <f>LOOKUP('Hypothèses et Graphiques'!S$6,'Liste solde migratoire Hom'!$C$1:$AH$1,'Liste solde migratoire Hom'!$C12:$AH12)</f>
        <v>0</v>
      </c>
      <c r="S13">
        <f>LOOKUP('Hypothèses et Graphiques'!T$6,'Liste solde migratoire Hom'!$C$1:$AH$1,'Liste solde migratoire Hom'!$C12:$AH12)</f>
        <v>0</v>
      </c>
    </row>
    <row r="14" spans="1:19" x14ac:dyDescent="0.25">
      <c r="A14" s="5" t="s">
        <v>10</v>
      </c>
      <c r="B14" s="5" t="s">
        <v>11</v>
      </c>
      <c r="C14">
        <f>LOOKUP('Hypothèses et Graphiques'!D$6,'Liste solde migratoire Hom'!$C$1:$AH$1,'Liste solde migratoire Hom'!$C13:$AH13)</f>
        <v>0</v>
      </c>
      <c r="D14">
        <f>LOOKUP('Hypothèses et Graphiques'!E$6,'Liste solde migratoire Hom'!$C$1:$AH$1,'Liste solde migratoire Hom'!$C13:$AH13)</f>
        <v>0</v>
      </c>
      <c r="E14">
        <f>LOOKUP('Hypothèses et Graphiques'!F$6,'Liste solde migratoire Hom'!$C$1:$AH$1,'Liste solde migratoire Hom'!$C13:$AH13)</f>
        <v>0</v>
      </c>
      <c r="F14">
        <f>LOOKUP('Hypothèses et Graphiques'!G$6,'Liste solde migratoire Hom'!$C$1:$AH$1,'Liste solde migratoire Hom'!$C13:$AH13)</f>
        <v>0</v>
      </c>
      <c r="G14">
        <f>LOOKUP('Hypothèses et Graphiques'!H$6,'Liste solde migratoire Hom'!$C$1:$AH$1,'Liste solde migratoire Hom'!$C13:$AH13)</f>
        <v>0</v>
      </c>
      <c r="H14">
        <f>LOOKUP('Hypothèses et Graphiques'!I$6,'Liste solde migratoire Hom'!$C$1:$AH$1,'Liste solde migratoire Hom'!$C13:$AH13)</f>
        <v>0</v>
      </c>
      <c r="I14">
        <f>LOOKUP('Hypothèses et Graphiques'!J$6,'Liste solde migratoire Hom'!$C$1:$AH$1,'Liste solde migratoire Hom'!$C13:$AH13)</f>
        <v>0</v>
      </c>
      <c r="J14">
        <f>LOOKUP('Hypothèses et Graphiques'!K$6,'Liste solde migratoire Hom'!$C$1:$AH$1,'Liste solde migratoire Hom'!$C13:$AH13)</f>
        <v>0</v>
      </c>
      <c r="K14">
        <f>LOOKUP('Hypothèses et Graphiques'!L$6,'Liste solde migratoire Hom'!$C$1:$AH$1,'Liste solde migratoire Hom'!$C13:$AH13)</f>
        <v>0</v>
      </c>
      <c r="L14">
        <f>LOOKUP('Hypothèses et Graphiques'!M$6,'Liste solde migratoire Hom'!$C$1:$AH$1,'Liste solde migratoire Hom'!$C13:$AH13)</f>
        <v>0</v>
      </c>
      <c r="M14">
        <f>LOOKUP('Hypothèses et Graphiques'!N$6,'Liste solde migratoire Hom'!$C$1:$AH$1,'Liste solde migratoire Hom'!$C13:$AH13)</f>
        <v>0</v>
      </c>
      <c r="N14">
        <f>LOOKUP('Hypothèses et Graphiques'!O$6,'Liste solde migratoire Hom'!$C$1:$AH$1,'Liste solde migratoire Hom'!$C13:$AH13)</f>
        <v>0</v>
      </c>
      <c r="O14">
        <f>LOOKUP('Hypothèses et Graphiques'!P$6,'Liste solde migratoire Hom'!$C$1:$AH$1,'Liste solde migratoire Hom'!$C13:$AH13)</f>
        <v>0</v>
      </c>
      <c r="P14">
        <f>LOOKUP('Hypothèses et Graphiques'!Q$6,'Liste solde migratoire Hom'!$C$1:$AH$1,'Liste solde migratoire Hom'!$C13:$AH13)</f>
        <v>0</v>
      </c>
      <c r="Q14">
        <f>LOOKUP('Hypothèses et Graphiques'!R$6,'Liste solde migratoire Hom'!$C$1:$AH$1,'Liste solde migratoire Hom'!$C13:$AH13)</f>
        <v>0</v>
      </c>
      <c r="R14">
        <f>LOOKUP('Hypothèses et Graphiques'!S$6,'Liste solde migratoire Hom'!$C$1:$AH$1,'Liste solde migratoire Hom'!$C13:$AH13)</f>
        <v>0</v>
      </c>
      <c r="S14">
        <f>LOOKUP('Hypothèses et Graphiques'!T$6,'Liste solde migratoire Hom'!$C$1:$AH$1,'Liste solde migratoire Hom'!$C13:$AH13)</f>
        <v>0</v>
      </c>
    </row>
    <row r="15" spans="1:19" x14ac:dyDescent="0.25">
      <c r="A15" s="5" t="s">
        <v>11</v>
      </c>
      <c r="B15" s="5" t="s">
        <v>12</v>
      </c>
      <c r="C15">
        <f>LOOKUP('Hypothèses et Graphiques'!D$6,'Liste solde migratoire Hom'!$C$1:$AH$1,'Liste solde migratoire Hom'!$C14:$AH14)</f>
        <v>0</v>
      </c>
      <c r="D15">
        <f>LOOKUP('Hypothèses et Graphiques'!E$6,'Liste solde migratoire Hom'!$C$1:$AH$1,'Liste solde migratoire Hom'!$C14:$AH14)</f>
        <v>0</v>
      </c>
      <c r="E15">
        <f>LOOKUP('Hypothèses et Graphiques'!F$6,'Liste solde migratoire Hom'!$C$1:$AH$1,'Liste solde migratoire Hom'!$C14:$AH14)</f>
        <v>0</v>
      </c>
      <c r="F15">
        <f>LOOKUP('Hypothèses et Graphiques'!G$6,'Liste solde migratoire Hom'!$C$1:$AH$1,'Liste solde migratoire Hom'!$C14:$AH14)</f>
        <v>0</v>
      </c>
      <c r="G15">
        <f>LOOKUP('Hypothèses et Graphiques'!H$6,'Liste solde migratoire Hom'!$C$1:$AH$1,'Liste solde migratoire Hom'!$C14:$AH14)</f>
        <v>0</v>
      </c>
      <c r="H15">
        <f>LOOKUP('Hypothèses et Graphiques'!I$6,'Liste solde migratoire Hom'!$C$1:$AH$1,'Liste solde migratoire Hom'!$C14:$AH14)</f>
        <v>0</v>
      </c>
      <c r="I15">
        <f>LOOKUP('Hypothèses et Graphiques'!J$6,'Liste solde migratoire Hom'!$C$1:$AH$1,'Liste solde migratoire Hom'!$C14:$AH14)</f>
        <v>0</v>
      </c>
      <c r="J15">
        <f>LOOKUP('Hypothèses et Graphiques'!K$6,'Liste solde migratoire Hom'!$C$1:$AH$1,'Liste solde migratoire Hom'!$C14:$AH14)</f>
        <v>0</v>
      </c>
      <c r="K15">
        <f>LOOKUP('Hypothèses et Graphiques'!L$6,'Liste solde migratoire Hom'!$C$1:$AH$1,'Liste solde migratoire Hom'!$C14:$AH14)</f>
        <v>0</v>
      </c>
      <c r="L15">
        <f>LOOKUP('Hypothèses et Graphiques'!M$6,'Liste solde migratoire Hom'!$C$1:$AH$1,'Liste solde migratoire Hom'!$C14:$AH14)</f>
        <v>0</v>
      </c>
      <c r="M15">
        <f>LOOKUP('Hypothèses et Graphiques'!N$6,'Liste solde migratoire Hom'!$C$1:$AH$1,'Liste solde migratoire Hom'!$C14:$AH14)</f>
        <v>0</v>
      </c>
      <c r="N15">
        <f>LOOKUP('Hypothèses et Graphiques'!O$6,'Liste solde migratoire Hom'!$C$1:$AH$1,'Liste solde migratoire Hom'!$C14:$AH14)</f>
        <v>0</v>
      </c>
      <c r="O15">
        <f>LOOKUP('Hypothèses et Graphiques'!P$6,'Liste solde migratoire Hom'!$C$1:$AH$1,'Liste solde migratoire Hom'!$C14:$AH14)</f>
        <v>0</v>
      </c>
      <c r="P15">
        <f>LOOKUP('Hypothèses et Graphiques'!Q$6,'Liste solde migratoire Hom'!$C$1:$AH$1,'Liste solde migratoire Hom'!$C14:$AH14)</f>
        <v>0</v>
      </c>
      <c r="Q15">
        <f>LOOKUP('Hypothèses et Graphiques'!R$6,'Liste solde migratoire Hom'!$C$1:$AH$1,'Liste solde migratoire Hom'!$C14:$AH14)</f>
        <v>0</v>
      </c>
      <c r="R15">
        <f>LOOKUP('Hypothèses et Graphiques'!S$6,'Liste solde migratoire Hom'!$C$1:$AH$1,'Liste solde migratoire Hom'!$C14:$AH14)</f>
        <v>0</v>
      </c>
      <c r="S15">
        <f>LOOKUP('Hypothèses et Graphiques'!T$6,'Liste solde migratoire Hom'!$C$1:$AH$1,'Liste solde migratoire Hom'!$C14:$AH14)</f>
        <v>0</v>
      </c>
    </row>
    <row r="16" spans="1:19" x14ac:dyDescent="0.25">
      <c r="A16" s="5" t="s">
        <v>12</v>
      </c>
      <c r="B16" s="5" t="s">
        <v>13</v>
      </c>
      <c r="C16">
        <f>LOOKUP('Hypothèses et Graphiques'!D$6,'Liste solde migratoire Hom'!$C$1:$AH$1,'Liste solde migratoire Hom'!$C15:$AH15)</f>
        <v>0</v>
      </c>
      <c r="D16">
        <f>LOOKUP('Hypothèses et Graphiques'!E$6,'Liste solde migratoire Hom'!$C$1:$AH$1,'Liste solde migratoire Hom'!$C15:$AH15)</f>
        <v>0</v>
      </c>
      <c r="E16">
        <f>LOOKUP('Hypothèses et Graphiques'!F$6,'Liste solde migratoire Hom'!$C$1:$AH$1,'Liste solde migratoire Hom'!$C15:$AH15)</f>
        <v>0</v>
      </c>
      <c r="F16">
        <f>LOOKUP('Hypothèses et Graphiques'!G$6,'Liste solde migratoire Hom'!$C$1:$AH$1,'Liste solde migratoire Hom'!$C15:$AH15)</f>
        <v>0</v>
      </c>
      <c r="G16">
        <f>LOOKUP('Hypothèses et Graphiques'!H$6,'Liste solde migratoire Hom'!$C$1:$AH$1,'Liste solde migratoire Hom'!$C15:$AH15)</f>
        <v>0</v>
      </c>
      <c r="H16">
        <f>LOOKUP('Hypothèses et Graphiques'!I$6,'Liste solde migratoire Hom'!$C$1:$AH$1,'Liste solde migratoire Hom'!$C15:$AH15)</f>
        <v>0</v>
      </c>
      <c r="I16">
        <f>LOOKUP('Hypothèses et Graphiques'!J$6,'Liste solde migratoire Hom'!$C$1:$AH$1,'Liste solde migratoire Hom'!$C15:$AH15)</f>
        <v>0</v>
      </c>
      <c r="J16">
        <f>LOOKUP('Hypothèses et Graphiques'!K$6,'Liste solde migratoire Hom'!$C$1:$AH$1,'Liste solde migratoire Hom'!$C15:$AH15)</f>
        <v>0</v>
      </c>
      <c r="K16">
        <f>LOOKUP('Hypothèses et Graphiques'!L$6,'Liste solde migratoire Hom'!$C$1:$AH$1,'Liste solde migratoire Hom'!$C15:$AH15)</f>
        <v>0</v>
      </c>
      <c r="L16">
        <f>LOOKUP('Hypothèses et Graphiques'!M$6,'Liste solde migratoire Hom'!$C$1:$AH$1,'Liste solde migratoire Hom'!$C15:$AH15)</f>
        <v>0</v>
      </c>
      <c r="M16">
        <f>LOOKUP('Hypothèses et Graphiques'!N$6,'Liste solde migratoire Hom'!$C$1:$AH$1,'Liste solde migratoire Hom'!$C15:$AH15)</f>
        <v>0</v>
      </c>
      <c r="N16">
        <f>LOOKUP('Hypothèses et Graphiques'!O$6,'Liste solde migratoire Hom'!$C$1:$AH$1,'Liste solde migratoire Hom'!$C15:$AH15)</f>
        <v>0</v>
      </c>
      <c r="O16">
        <f>LOOKUP('Hypothèses et Graphiques'!P$6,'Liste solde migratoire Hom'!$C$1:$AH$1,'Liste solde migratoire Hom'!$C15:$AH15)</f>
        <v>0</v>
      </c>
      <c r="P16">
        <f>LOOKUP('Hypothèses et Graphiques'!Q$6,'Liste solde migratoire Hom'!$C$1:$AH$1,'Liste solde migratoire Hom'!$C15:$AH15)</f>
        <v>0</v>
      </c>
      <c r="Q16">
        <f>LOOKUP('Hypothèses et Graphiques'!R$6,'Liste solde migratoire Hom'!$C$1:$AH$1,'Liste solde migratoire Hom'!$C15:$AH15)</f>
        <v>0</v>
      </c>
      <c r="R16">
        <f>LOOKUP('Hypothèses et Graphiques'!S$6,'Liste solde migratoire Hom'!$C$1:$AH$1,'Liste solde migratoire Hom'!$C15:$AH15)</f>
        <v>0</v>
      </c>
      <c r="S16">
        <f>LOOKUP('Hypothèses et Graphiques'!T$6,'Liste solde migratoire Hom'!$C$1:$AH$1,'Liste solde migratoire Hom'!$C15:$AH15)</f>
        <v>0</v>
      </c>
    </row>
    <row r="17" spans="1:19" x14ac:dyDescent="0.25">
      <c r="A17" s="5" t="s">
        <v>13</v>
      </c>
      <c r="B17" s="5" t="s">
        <v>14</v>
      </c>
      <c r="C17">
        <f>LOOKUP('Hypothèses et Graphiques'!D$6,'Liste solde migratoire Hom'!$C$1:$AH$1,'Liste solde migratoire Hom'!$C16:$AH16)</f>
        <v>0</v>
      </c>
      <c r="D17">
        <f>LOOKUP('Hypothèses et Graphiques'!E$6,'Liste solde migratoire Hom'!$C$1:$AH$1,'Liste solde migratoire Hom'!$C16:$AH16)</f>
        <v>0</v>
      </c>
      <c r="E17">
        <f>LOOKUP('Hypothèses et Graphiques'!F$6,'Liste solde migratoire Hom'!$C$1:$AH$1,'Liste solde migratoire Hom'!$C16:$AH16)</f>
        <v>0</v>
      </c>
      <c r="F17">
        <f>LOOKUP('Hypothèses et Graphiques'!G$6,'Liste solde migratoire Hom'!$C$1:$AH$1,'Liste solde migratoire Hom'!$C16:$AH16)</f>
        <v>0</v>
      </c>
      <c r="G17">
        <f>LOOKUP('Hypothèses et Graphiques'!H$6,'Liste solde migratoire Hom'!$C$1:$AH$1,'Liste solde migratoire Hom'!$C16:$AH16)</f>
        <v>0</v>
      </c>
      <c r="H17">
        <f>LOOKUP('Hypothèses et Graphiques'!I$6,'Liste solde migratoire Hom'!$C$1:$AH$1,'Liste solde migratoire Hom'!$C16:$AH16)</f>
        <v>0</v>
      </c>
      <c r="I17">
        <f>LOOKUP('Hypothèses et Graphiques'!J$6,'Liste solde migratoire Hom'!$C$1:$AH$1,'Liste solde migratoire Hom'!$C16:$AH16)</f>
        <v>0</v>
      </c>
      <c r="J17">
        <f>LOOKUP('Hypothèses et Graphiques'!K$6,'Liste solde migratoire Hom'!$C$1:$AH$1,'Liste solde migratoire Hom'!$C16:$AH16)</f>
        <v>0</v>
      </c>
      <c r="K17">
        <f>LOOKUP('Hypothèses et Graphiques'!L$6,'Liste solde migratoire Hom'!$C$1:$AH$1,'Liste solde migratoire Hom'!$C16:$AH16)</f>
        <v>0</v>
      </c>
      <c r="L17">
        <f>LOOKUP('Hypothèses et Graphiques'!M$6,'Liste solde migratoire Hom'!$C$1:$AH$1,'Liste solde migratoire Hom'!$C16:$AH16)</f>
        <v>0</v>
      </c>
      <c r="M17">
        <f>LOOKUP('Hypothèses et Graphiques'!N$6,'Liste solde migratoire Hom'!$C$1:$AH$1,'Liste solde migratoire Hom'!$C16:$AH16)</f>
        <v>0</v>
      </c>
      <c r="N17">
        <f>LOOKUP('Hypothèses et Graphiques'!O$6,'Liste solde migratoire Hom'!$C$1:$AH$1,'Liste solde migratoire Hom'!$C16:$AH16)</f>
        <v>0</v>
      </c>
      <c r="O17">
        <f>LOOKUP('Hypothèses et Graphiques'!P$6,'Liste solde migratoire Hom'!$C$1:$AH$1,'Liste solde migratoire Hom'!$C16:$AH16)</f>
        <v>0</v>
      </c>
      <c r="P17">
        <f>LOOKUP('Hypothèses et Graphiques'!Q$6,'Liste solde migratoire Hom'!$C$1:$AH$1,'Liste solde migratoire Hom'!$C16:$AH16)</f>
        <v>0</v>
      </c>
      <c r="Q17">
        <f>LOOKUP('Hypothèses et Graphiques'!R$6,'Liste solde migratoire Hom'!$C$1:$AH$1,'Liste solde migratoire Hom'!$C16:$AH16)</f>
        <v>0</v>
      </c>
      <c r="R17">
        <f>LOOKUP('Hypothèses et Graphiques'!S$6,'Liste solde migratoire Hom'!$C$1:$AH$1,'Liste solde migratoire Hom'!$C16:$AH16)</f>
        <v>0</v>
      </c>
      <c r="S17">
        <f>LOOKUP('Hypothèses et Graphiques'!T$6,'Liste solde migratoire Hom'!$C$1:$AH$1,'Liste solde migratoire Hom'!$C16:$AH16)</f>
        <v>0</v>
      </c>
    </row>
    <row r="18" spans="1:19" x14ac:dyDescent="0.25">
      <c r="A18" s="5" t="s">
        <v>14</v>
      </c>
      <c r="B18" s="5" t="s">
        <v>15</v>
      </c>
      <c r="C18">
        <f>LOOKUP('Hypothèses et Graphiques'!D$6,'Liste solde migratoire Hom'!$C$1:$AH$1,'Liste solde migratoire Hom'!$C17:$AH17)</f>
        <v>0</v>
      </c>
      <c r="D18">
        <f>LOOKUP('Hypothèses et Graphiques'!E$6,'Liste solde migratoire Hom'!$C$1:$AH$1,'Liste solde migratoire Hom'!$C17:$AH17)</f>
        <v>0</v>
      </c>
      <c r="E18">
        <f>LOOKUP('Hypothèses et Graphiques'!F$6,'Liste solde migratoire Hom'!$C$1:$AH$1,'Liste solde migratoire Hom'!$C17:$AH17)</f>
        <v>0</v>
      </c>
      <c r="F18">
        <f>LOOKUP('Hypothèses et Graphiques'!G$6,'Liste solde migratoire Hom'!$C$1:$AH$1,'Liste solde migratoire Hom'!$C17:$AH17)</f>
        <v>0</v>
      </c>
      <c r="G18">
        <f>LOOKUP('Hypothèses et Graphiques'!H$6,'Liste solde migratoire Hom'!$C$1:$AH$1,'Liste solde migratoire Hom'!$C17:$AH17)</f>
        <v>0</v>
      </c>
      <c r="H18">
        <f>LOOKUP('Hypothèses et Graphiques'!I$6,'Liste solde migratoire Hom'!$C$1:$AH$1,'Liste solde migratoire Hom'!$C17:$AH17)</f>
        <v>0</v>
      </c>
      <c r="I18">
        <f>LOOKUP('Hypothèses et Graphiques'!J$6,'Liste solde migratoire Hom'!$C$1:$AH$1,'Liste solde migratoire Hom'!$C17:$AH17)</f>
        <v>0</v>
      </c>
      <c r="J18">
        <f>LOOKUP('Hypothèses et Graphiques'!K$6,'Liste solde migratoire Hom'!$C$1:$AH$1,'Liste solde migratoire Hom'!$C17:$AH17)</f>
        <v>0</v>
      </c>
      <c r="K18">
        <f>LOOKUP('Hypothèses et Graphiques'!L$6,'Liste solde migratoire Hom'!$C$1:$AH$1,'Liste solde migratoire Hom'!$C17:$AH17)</f>
        <v>0</v>
      </c>
      <c r="L18">
        <f>LOOKUP('Hypothèses et Graphiques'!M$6,'Liste solde migratoire Hom'!$C$1:$AH$1,'Liste solde migratoire Hom'!$C17:$AH17)</f>
        <v>0</v>
      </c>
      <c r="M18">
        <f>LOOKUP('Hypothèses et Graphiques'!N$6,'Liste solde migratoire Hom'!$C$1:$AH$1,'Liste solde migratoire Hom'!$C17:$AH17)</f>
        <v>0</v>
      </c>
      <c r="N18">
        <f>LOOKUP('Hypothèses et Graphiques'!O$6,'Liste solde migratoire Hom'!$C$1:$AH$1,'Liste solde migratoire Hom'!$C17:$AH17)</f>
        <v>0</v>
      </c>
      <c r="O18">
        <f>LOOKUP('Hypothèses et Graphiques'!P$6,'Liste solde migratoire Hom'!$C$1:$AH$1,'Liste solde migratoire Hom'!$C17:$AH17)</f>
        <v>0</v>
      </c>
      <c r="P18">
        <f>LOOKUP('Hypothèses et Graphiques'!Q$6,'Liste solde migratoire Hom'!$C$1:$AH$1,'Liste solde migratoire Hom'!$C17:$AH17)</f>
        <v>0</v>
      </c>
      <c r="Q18">
        <f>LOOKUP('Hypothèses et Graphiques'!R$6,'Liste solde migratoire Hom'!$C$1:$AH$1,'Liste solde migratoire Hom'!$C17:$AH17)</f>
        <v>0</v>
      </c>
      <c r="R18">
        <f>LOOKUP('Hypothèses et Graphiques'!S$6,'Liste solde migratoire Hom'!$C$1:$AH$1,'Liste solde migratoire Hom'!$C17:$AH17)</f>
        <v>0</v>
      </c>
      <c r="S18">
        <f>LOOKUP('Hypothèses et Graphiques'!T$6,'Liste solde migratoire Hom'!$C$1:$AH$1,'Liste solde migratoire Hom'!$C17:$AH17)</f>
        <v>0</v>
      </c>
    </row>
    <row r="19" spans="1:19" x14ac:dyDescent="0.25">
      <c r="A19" s="5" t="s">
        <v>15</v>
      </c>
      <c r="B19" s="5" t="s">
        <v>16</v>
      </c>
      <c r="C19">
        <f>LOOKUP('Hypothèses et Graphiques'!D$6,'Liste solde migratoire Hom'!$C$1:$AH$1,'Liste solde migratoire Hom'!$C18:$AH18)</f>
        <v>0</v>
      </c>
      <c r="D19">
        <f>LOOKUP('Hypothèses et Graphiques'!E$6,'Liste solde migratoire Hom'!$C$1:$AH$1,'Liste solde migratoire Hom'!$C18:$AH18)</f>
        <v>0</v>
      </c>
      <c r="E19">
        <f>LOOKUP('Hypothèses et Graphiques'!F$6,'Liste solde migratoire Hom'!$C$1:$AH$1,'Liste solde migratoire Hom'!$C18:$AH18)</f>
        <v>0</v>
      </c>
      <c r="F19">
        <f>LOOKUP('Hypothèses et Graphiques'!G$6,'Liste solde migratoire Hom'!$C$1:$AH$1,'Liste solde migratoire Hom'!$C18:$AH18)</f>
        <v>0</v>
      </c>
      <c r="G19">
        <f>LOOKUP('Hypothèses et Graphiques'!H$6,'Liste solde migratoire Hom'!$C$1:$AH$1,'Liste solde migratoire Hom'!$C18:$AH18)</f>
        <v>0</v>
      </c>
      <c r="H19">
        <f>LOOKUP('Hypothèses et Graphiques'!I$6,'Liste solde migratoire Hom'!$C$1:$AH$1,'Liste solde migratoire Hom'!$C18:$AH18)</f>
        <v>0</v>
      </c>
      <c r="I19">
        <f>LOOKUP('Hypothèses et Graphiques'!J$6,'Liste solde migratoire Hom'!$C$1:$AH$1,'Liste solde migratoire Hom'!$C18:$AH18)</f>
        <v>0</v>
      </c>
      <c r="J19">
        <f>LOOKUP('Hypothèses et Graphiques'!K$6,'Liste solde migratoire Hom'!$C$1:$AH$1,'Liste solde migratoire Hom'!$C18:$AH18)</f>
        <v>0</v>
      </c>
      <c r="K19">
        <f>LOOKUP('Hypothèses et Graphiques'!L$6,'Liste solde migratoire Hom'!$C$1:$AH$1,'Liste solde migratoire Hom'!$C18:$AH18)</f>
        <v>0</v>
      </c>
      <c r="L19">
        <f>LOOKUP('Hypothèses et Graphiques'!M$6,'Liste solde migratoire Hom'!$C$1:$AH$1,'Liste solde migratoire Hom'!$C18:$AH18)</f>
        <v>0</v>
      </c>
      <c r="M19">
        <f>LOOKUP('Hypothèses et Graphiques'!N$6,'Liste solde migratoire Hom'!$C$1:$AH$1,'Liste solde migratoire Hom'!$C18:$AH18)</f>
        <v>0</v>
      </c>
      <c r="N19">
        <f>LOOKUP('Hypothèses et Graphiques'!O$6,'Liste solde migratoire Hom'!$C$1:$AH$1,'Liste solde migratoire Hom'!$C18:$AH18)</f>
        <v>0</v>
      </c>
      <c r="O19">
        <f>LOOKUP('Hypothèses et Graphiques'!P$6,'Liste solde migratoire Hom'!$C$1:$AH$1,'Liste solde migratoire Hom'!$C18:$AH18)</f>
        <v>0</v>
      </c>
      <c r="P19">
        <f>LOOKUP('Hypothèses et Graphiques'!Q$6,'Liste solde migratoire Hom'!$C$1:$AH$1,'Liste solde migratoire Hom'!$C18:$AH18)</f>
        <v>0</v>
      </c>
      <c r="Q19">
        <f>LOOKUP('Hypothèses et Graphiques'!R$6,'Liste solde migratoire Hom'!$C$1:$AH$1,'Liste solde migratoire Hom'!$C18:$AH18)</f>
        <v>0</v>
      </c>
      <c r="R19">
        <f>LOOKUP('Hypothèses et Graphiques'!S$6,'Liste solde migratoire Hom'!$C$1:$AH$1,'Liste solde migratoire Hom'!$C18:$AH18)</f>
        <v>0</v>
      </c>
      <c r="S19">
        <f>LOOKUP('Hypothèses et Graphiques'!T$6,'Liste solde migratoire Hom'!$C$1:$AH$1,'Liste solde migratoire Hom'!$C18:$AH18)</f>
        <v>0</v>
      </c>
    </row>
    <row r="20" spans="1:19" x14ac:dyDescent="0.25">
      <c r="A20" s="5" t="s">
        <v>16</v>
      </c>
      <c r="B20" s="5" t="s">
        <v>17</v>
      </c>
      <c r="C20">
        <f>LOOKUP('Hypothèses et Graphiques'!D$6,'Liste solde migratoire Hom'!$C$1:$AH$1,'Liste solde migratoire Hom'!$C19:$AH19)</f>
        <v>0</v>
      </c>
      <c r="D20">
        <f>LOOKUP('Hypothèses et Graphiques'!E$6,'Liste solde migratoire Hom'!$C$1:$AH$1,'Liste solde migratoire Hom'!$C19:$AH19)</f>
        <v>0</v>
      </c>
      <c r="E20">
        <f>LOOKUP('Hypothèses et Graphiques'!F$6,'Liste solde migratoire Hom'!$C$1:$AH$1,'Liste solde migratoire Hom'!$C19:$AH19)</f>
        <v>0</v>
      </c>
      <c r="F20">
        <f>LOOKUP('Hypothèses et Graphiques'!G$6,'Liste solde migratoire Hom'!$C$1:$AH$1,'Liste solde migratoire Hom'!$C19:$AH19)</f>
        <v>0</v>
      </c>
      <c r="G20">
        <f>LOOKUP('Hypothèses et Graphiques'!H$6,'Liste solde migratoire Hom'!$C$1:$AH$1,'Liste solde migratoire Hom'!$C19:$AH19)</f>
        <v>0</v>
      </c>
      <c r="H20">
        <f>LOOKUP('Hypothèses et Graphiques'!I$6,'Liste solde migratoire Hom'!$C$1:$AH$1,'Liste solde migratoire Hom'!$C19:$AH19)</f>
        <v>0</v>
      </c>
      <c r="I20">
        <f>LOOKUP('Hypothèses et Graphiques'!J$6,'Liste solde migratoire Hom'!$C$1:$AH$1,'Liste solde migratoire Hom'!$C19:$AH19)</f>
        <v>0</v>
      </c>
      <c r="J20">
        <f>LOOKUP('Hypothèses et Graphiques'!K$6,'Liste solde migratoire Hom'!$C$1:$AH$1,'Liste solde migratoire Hom'!$C19:$AH19)</f>
        <v>0</v>
      </c>
      <c r="K20">
        <f>LOOKUP('Hypothèses et Graphiques'!L$6,'Liste solde migratoire Hom'!$C$1:$AH$1,'Liste solde migratoire Hom'!$C19:$AH19)</f>
        <v>0</v>
      </c>
      <c r="L20">
        <f>LOOKUP('Hypothèses et Graphiques'!M$6,'Liste solde migratoire Hom'!$C$1:$AH$1,'Liste solde migratoire Hom'!$C19:$AH19)</f>
        <v>0</v>
      </c>
      <c r="M20">
        <f>LOOKUP('Hypothèses et Graphiques'!N$6,'Liste solde migratoire Hom'!$C$1:$AH$1,'Liste solde migratoire Hom'!$C19:$AH19)</f>
        <v>0</v>
      </c>
      <c r="N20">
        <f>LOOKUP('Hypothèses et Graphiques'!O$6,'Liste solde migratoire Hom'!$C$1:$AH$1,'Liste solde migratoire Hom'!$C19:$AH19)</f>
        <v>0</v>
      </c>
      <c r="O20">
        <f>LOOKUP('Hypothèses et Graphiques'!P$6,'Liste solde migratoire Hom'!$C$1:$AH$1,'Liste solde migratoire Hom'!$C19:$AH19)</f>
        <v>0</v>
      </c>
      <c r="P20">
        <f>LOOKUP('Hypothèses et Graphiques'!Q$6,'Liste solde migratoire Hom'!$C$1:$AH$1,'Liste solde migratoire Hom'!$C19:$AH19)</f>
        <v>0</v>
      </c>
      <c r="Q20">
        <f>LOOKUP('Hypothèses et Graphiques'!R$6,'Liste solde migratoire Hom'!$C$1:$AH$1,'Liste solde migratoire Hom'!$C19:$AH19)</f>
        <v>0</v>
      </c>
      <c r="R20">
        <f>LOOKUP('Hypothèses et Graphiques'!S$6,'Liste solde migratoire Hom'!$C$1:$AH$1,'Liste solde migratoire Hom'!$C19:$AH19)</f>
        <v>0</v>
      </c>
      <c r="S20">
        <f>LOOKUP('Hypothèses et Graphiques'!T$6,'Liste solde migratoire Hom'!$C$1:$AH$1,'Liste solde migratoire Hom'!$C19:$AH19)</f>
        <v>0</v>
      </c>
    </row>
    <row r="21" spans="1:19" x14ac:dyDescent="0.25">
      <c r="A21" s="5" t="s">
        <v>17</v>
      </c>
      <c r="B21" s="5" t="s">
        <v>18</v>
      </c>
      <c r="C21">
        <f>LOOKUP('Hypothèses et Graphiques'!D$6,'Liste solde migratoire Hom'!$C$1:$AH$1,'Liste solde migratoire Hom'!$C20:$AH20)</f>
        <v>0</v>
      </c>
      <c r="D21">
        <f>LOOKUP('Hypothèses et Graphiques'!E$6,'Liste solde migratoire Hom'!$C$1:$AH$1,'Liste solde migratoire Hom'!$C20:$AH20)</f>
        <v>0</v>
      </c>
      <c r="E21">
        <f>LOOKUP('Hypothèses et Graphiques'!F$6,'Liste solde migratoire Hom'!$C$1:$AH$1,'Liste solde migratoire Hom'!$C20:$AH20)</f>
        <v>0</v>
      </c>
      <c r="F21">
        <f>LOOKUP('Hypothèses et Graphiques'!G$6,'Liste solde migratoire Hom'!$C$1:$AH$1,'Liste solde migratoire Hom'!$C20:$AH20)</f>
        <v>0</v>
      </c>
      <c r="G21">
        <f>LOOKUP('Hypothèses et Graphiques'!H$6,'Liste solde migratoire Hom'!$C$1:$AH$1,'Liste solde migratoire Hom'!$C20:$AH20)</f>
        <v>0</v>
      </c>
      <c r="H21">
        <f>LOOKUP('Hypothèses et Graphiques'!I$6,'Liste solde migratoire Hom'!$C$1:$AH$1,'Liste solde migratoire Hom'!$C20:$AH20)</f>
        <v>0</v>
      </c>
      <c r="I21">
        <f>LOOKUP('Hypothèses et Graphiques'!J$6,'Liste solde migratoire Hom'!$C$1:$AH$1,'Liste solde migratoire Hom'!$C20:$AH20)</f>
        <v>0</v>
      </c>
      <c r="J21">
        <f>LOOKUP('Hypothèses et Graphiques'!K$6,'Liste solde migratoire Hom'!$C$1:$AH$1,'Liste solde migratoire Hom'!$C20:$AH20)</f>
        <v>0</v>
      </c>
      <c r="K21">
        <f>LOOKUP('Hypothèses et Graphiques'!L$6,'Liste solde migratoire Hom'!$C$1:$AH$1,'Liste solde migratoire Hom'!$C20:$AH20)</f>
        <v>0</v>
      </c>
      <c r="L21">
        <f>LOOKUP('Hypothèses et Graphiques'!M$6,'Liste solde migratoire Hom'!$C$1:$AH$1,'Liste solde migratoire Hom'!$C20:$AH20)</f>
        <v>0</v>
      </c>
      <c r="M21">
        <f>LOOKUP('Hypothèses et Graphiques'!N$6,'Liste solde migratoire Hom'!$C$1:$AH$1,'Liste solde migratoire Hom'!$C20:$AH20)</f>
        <v>0</v>
      </c>
      <c r="N21">
        <f>LOOKUP('Hypothèses et Graphiques'!O$6,'Liste solde migratoire Hom'!$C$1:$AH$1,'Liste solde migratoire Hom'!$C20:$AH20)</f>
        <v>0</v>
      </c>
      <c r="O21">
        <f>LOOKUP('Hypothèses et Graphiques'!P$6,'Liste solde migratoire Hom'!$C$1:$AH$1,'Liste solde migratoire Hom'!$C20:$AH20)</f>
        <v>0</v>
      </c>
      <c r="P21">
        <f>LOOKUP('Hypothèses et Graphiques'!Q$6,'Liste solde migratoire Hom'!$C$1:$AH$1,'Liste solde migratoire Hom'!$C20:$AH20)</f>
        <v>0</v>
      </c>
      <c r="Q21">
        <f>LOOKUP('Hypothèses et Graphiques'!R$6,'Liste solde migratoire Hom'!$C$1:$AH$1,'Liste solde migratoire Hom'!$C20:$AH20)</f>
        <v>0</v>
      </c>
      <c r="R21">
        <f>LOOKUP('Hypothèses et Graphiques'!S$6,'Liste solde migratoire Hom'!$C$1:$AH$1,'Liste solde migratoire Hom'!$C20:$AH20)</f>
        <v>0</v>
      </c>
      <c r="S21">
        <f>LOOKUP('Hypothèses et Graphiques'!T$6,'Liste solde migratoire Hom'!$C$1:$AH$1,'Liste solde migratoire Hom'!$C20:$AH20)</f>
        <v>0</v>
      </c>
    </row>
    <row r="22" spans="1:19" x14ac:dyDescent="0.25">
      <c r="A22" s="5" t="s">
        <v>18</v>
      </c>
      <c r="B22" s="5" t="s">
        <v>19</v>
      </c>
      <c r="C22">
        <f>LOOKUP('Hypothèses et Graphiques'!D$6,'Liste solde migratoire Hom'!$C$1:$AH$1,'Liste solde migratoire Hom'!$C21:$AH21)</f>
        <v>0</v>
      </c>
      <c r="D22">
        <f>LOOKUP('Hypothèses et Graphiques'!E$6,'Liste solde migratoire Hom'!$C$1:$AH$1,'Liste solde migratoire Hom'!$C21:$AH21)</f>
        <v>0</v>
      </c>
      <c r="E22">
        <f>LOOKUP('Hypothèses et Graphiques'!F$6,'Liste solde migratoire Hom'!$C$1:$AH$1,'Liste solde migratoire Hom'!$C21:$AH21)</f>
        <v>0</v>
      </c>
      <c r="F22">
        <f>LOOKUP('Hypothèses et Graphiques'!G$6,'Liste solde migratoire Hom'!$C$1:$AH$1,'Liste solde migratoire Hom'!$C21:$AH21)</f>
        <v>0</v>
      </c>
      <c r="G22">
        <f>LOOKUP('Hypothèses et Graphiques'!H$6,'Liste solde migratoire Hom'!$C$1:$AH$1,'Liste solde migratoire Hom'!$C21:$AH21)</f>
        <v>0</v>
      </c>
      <c r="H22">
        <f>LOOKUP('Hypothèses et Graphiques'!I$6,'Liste solde migratoire Hom'!$C$1:$AH$1,'Liste solde migratoire Hom'!$C21:$AH21)</f>
        <v>0</v>
      </c>
      <c r="I22">
        <f>LOOKUP('Hypothèses et Graphiques'!J$6,'Liste solde migratoire Hom'!$C$1:$AH$1,'Liste solde migratoire Hom'!$C21:$AH21)</f>
        <v>0</v>
      </c>
      <c r="J22">
        <f>LOOKUP('Hypothèses et Graphiques'!K$6,'Liste solde migratoire Hom'!$C$1:$AH$1,'Liste solde migratoire Hom'!$C21:$AH21)</f>
        <v>0</v>
      </c>
      <c r="K22">
        <f>LOOKUP('Hypothèses et Graphiques'!L$6,'Liste solde migratoire Hom'!$C$1:$AH$1,'Liste solde migratoire Hom'!$C21:$AH21)</f>
        <v>0</v>
      </c>
      <c r="L22">
        <f>LOOKUP('Hypothèses et Graphiques'!M$6,'Liste solde migratoire Hom'!$C$1:$AH$1,'Liste solde migratoire Hom'!$C21:$AH21)</f>
        <v>0</v>
      </c>
      <c r="M22">
        <f>LOOKUP('Hypothèses et Graphiques'!N$6,'Liste solde migratoire Hom'!$C$1:$AH$1,'Liste solde migratoire Hom'!$C21:$AH21)</f>
        <v>0</v>
      </c>
      <c r="N22">
        <f>LOOKUP('Hypothèses et Graphiques'!O$6,'Liste solde migratoire Hom'!$C$1:$AH$1,'Liste solde migratoire Hom'!$C21:$AH21)</f>
        <v>0</v>
      </c>
      <c r="O22">
        <f>LOOKUP('Hypothèses et Graphiques'!P$6,'Liste solde migratoire Hom'!$C$1:$AH$1,'Liste solde migratoire Hom'!$C21:$AH21)</f>
        <v>0</v>
      </c>
      <c r="P22">
        <f>LOOKUP('Hypothèses et Graphiques'!Q$6,'Liste solde migratoire Hom'!$C$1:$AH$1,'Liste solde migratoire Hom'!$C21:$AH21)</f>
        <v>0</v>
      </c>
      <c r="Q22">
        <f>LOOKUP('Hypothèses et Graphiques'!R$6,'Liste solde migratoire Hom'!$C$1:$AH$1,'Liste solde migratoire Hom'!$C21:$AH21)</f>
        <v>0</v>
      </c>
      <c r="R22">
        <f>LOOKUP('Hypothèses et Graphiques'!S$6,'Liste solde migratoire Hom'!$C$1:$AH$1,'Liste solde migratoire Hom'!$C21:$AH21)</f>
        <v>0</v>
      </c>
      <c r="S22">
        <f>LOOKUP('Hypothèses et Graphiques'!T$6,'Liste solde migratoire Hom'!$C$1:$AH$1,'Liste solde migratoire Hom'!$C21:$AH21)</f>
        <v>0</v>
      </c>
    </row>
    <row r="23" spans="1:19" ht="14.4" thickBot="1" x14ac:dyDescent="0.3">
      <c r="A23" s="6" t="s">
        <v>47</v>
      </c>
      <c r="B23" s="6" t="s">
        <v>20</v>
      </c>
      <c r="C23">
        <f>LOOKUP('Hypothèses et Graphiques'!D$6,'Liste solde migratoire Hom'!$C$1:$AH$1,'Liste solde migratoire Hom'!$C22:$AH22)</f>
        <v>0</v>
      </c>
      <c r="D23">
        <f>LOOKUP('Hypothèses et Graphiques'!E$6,'Liste solde migratoire Hom'!$C$1:$AH$1,'Liste solde migratoire Hom'!$C22:$AH22)</f>
        <v>0</v>
      </c>
      <c r="E23">
        <f>LOOKUP('Hypothèses et Graphiques'!F$6,'Liste solde migratoire Hom'!$C$1:$AH$1,'Liste solde migratoire Hom'!$C22:$AH22)</f>
        <v>0</v>
      </c>
      <c r="F23">
        <f>LOOKUP('Hypothèses et Graphiques'!G$6,'Liste solde migratoire Hom'!$C$1:$AH$1,'Liste solde migratoire Hom'!$C22:$AH22)</f>
        <v>0</v>
      </c>
      <c r="G23">
        <f>LOOKUP('Hypothèses et Graphiques'!H$6,'Liste solde migratoire Hom'!$C$1:$AH$1,'Liste solde migratoire Hom'!$C22:$AH22)</f>
        <v>0</v>
      </c>
      <c r="H23">
        <f>LOOKUP('Hypothèses et Graphiques'!I$6,'Liste solde migratoire Hom'!$C$1:$AH$1,'Liste solde migratoire Hom'!$C22:$AH22)</f>
        <v>0</v>
      </c>
      <c r="I23">
        <f>LOOKUP('Hypothèses et Graphiques'!J$6,'Liste solde migratoire Hom'!$C$1:$AH$1,'Liste solde migratoire Hom'!$C22:$AH22)</f>
        <v>0</v>
      </c>
      <c r="J23">
        <f>LOOKUP('Hypothèses et Graphiques'!K$6,'Liste solde migratoire Hom'!$C$1:$AH$1,'Liste solde migratoire Hom'!$C22:$AH22)</f>
        <v>0</v>
      </c>
      <c r="K23">
        <f>LOOKUP('Hypothèses et Graphiques'!L$6,'Liste solde migratoire Hom'!$C$1:$AH$1,'Liste solde migratoire Hom'!$C22:$AH22)</f>
        <v>0</v>
      </c>
      <c r="L23">
        <f>LOOKUP('Hypothèses et Graphiques'!M$6,'Liste solde migratoire Hom'!$C$1:$AH$1,'Liste solde migratoire Hom'!$C22:$AH22)</f>
        <v>0</v>
      </c>
      <c r="M23">
        <f>LOOKUP('Hypothèses et Graphiques'!N$6,'Liste solde migratoire Hom'!$C$1:$AH$1,'Liste solde migratoire Hom'!$C22:$AH22)</f>
        <v>0</v>
      </c>
      <c r="N23">
        <f>LOOKUP('Hypothèses et Graphiques'!O$6,'Liste solde migratoire Hom'!$C$1:$AH$1,'Liste solde migratoire Hom'!$C22:$AH22)</f>
        <v>0</v>
      </c>
      <c r="O23">
        <f>LOOKUP('Hypothèses et Graphiques'!P$6,'Liste solde migratoire Hom'!$C$1:$AH$1,'Liste solde migratoire Hom'!$C22:$AH22)</f>
        <v>0</v>
      </c>
      <c r="P23">
        <f>LOOKUP('Hypothèses et Graphiques'!Q$6,'Liste solde migratoire Hom'!$C$1:$AH$1,'Liste solde migratoire Hom'!$C22:$AH22)</f>
        <v>0</v>
      </c>
      <c r="Q23">
        <f>LOOKUP('Hypothèses et Graphiques'!R$6,'Liste solde migratoire Hom'!$C$1:$AH$1,'Liste solde migratoire Hom'!$C22:$AH22)</f>
        <v>0</v>
      </c>
      <c r="R23">
        <f>LOOKUP('Hypothèses et Graphiques'!S$6,'Liste solde migratoire Hom'!$C$1:$AH$1,'Liste solde migratoire Hom'!$C22:$AH22)</f>
        <v>0</v>
      </c>
      <c r="S23">
        <f>LOOKUP('Hypothèses et Graphiques'!T$6,'Liste solde migratoire Hom'!$C$1:$AH$1,'Liste solde migratoire Hom'!$C22:$AH22)</f>
        <v>0</v>
      </c>
    </row>
    <row r="24" spans="1:19" ht="14.4" thickBot="1" x14ac:dyDescent="0.3">
      <c r="B24" t="s">
        <v>22</v>
      </c>
    </row>
    <row r="25" spans="1:19" ht="14.4" thickBot="1" x14ac:dyDescent="0.3">
      <c r="A25" t="s">
        <v>43</v>
      </c>
      <c r="B25" t="s">
        <v>44</v>
      </c>
      <c r="C25" s="1" t="s">
        <v>24</v>
      </c>
      <c r="D25" s="2" t="s">
        <v>25</v>
      </c>
      <c r="E25" s="2" t="s">
        <v>26</v>
      </c>
      <c r="F25" s="2" t="s">
        <v>27</v>
      </c>
      <c r="G25" s="2" t="s">
        <v>28</v>
      </c>
      <c r="H25" s="2" t="s">
        <v>29</v>
      </c>
      <c r="I25" s="2" t="s">
        <v>30</v>
      </c>
      <c r="J25" s="2" t="s">
        <v>31</v>
      </c>
      <c r="K25" s="2" t="s">
        <v>32</v>
      </c>
      <c r="L25" s="2" t="s">
        <v>33</v>
      </c>
      <c r="M25" s="2" t="s">
        <v>34</v>
      </c>
      <c r="N25" s="2" t="s">
        <v>35</v>
      </c>
      <c r="O25" s="2" t="s">
        <v>36</v>
      </c>
      <c r="P25" s="2" t="s">
        <v>37</v>
      </c>
      <c r="Q25" s="2" t="s">
        <v>38</v>
      </c>
      <c r="R25" s="2" t="s">
        <v>39</v>
      </c>
      <c r="S25" s="3" t="s">
        <v>40</v>
      </c>
    </row>
    <row r="26" spans="1:19" x14ac:dyDescent="0.25">
      <c r="A26" s="10" t="s">
        <v>48</v>
      </c>
      <c r="B26" s="11" t="s">
        <v>7</v>
      </c>
      <c r="C26">
        <f>LOOKUP('Hypothèses et Graphiques'!D$6,'Liste solde migratoire Fem'!$C$1:$AH$1,'Liste solde migratoire Fem'!$C2:$AH2)</f>
        <v>0</v>
      </c>
      <c r="D26">
        <f>LOOKUP('Hypothèses et Graphiques'!E$6,'Liste solde migratoire Fem'!$C$1:$AH$1,'Liste solde migratoire Fem'!$C2:$AH2)</f>
        <v>0</v>
      </c>
      <c r="E26">
        <f>LOOKUP('Hypothèses et Graphiques'!F$6,'Liste solde migratoire Fem'!$C$1:$AH$1,'Liste solde migratoire Fem'!$C2:$AH2)</f>
        <v>0</v>
      </c>
      <c r="F26">
        <f>LOOKUP('Hypothèses et Graphiques'!G$6,'Liste solde migratoire Fem'!$C$1:$AH$1,'Liste solde migratoire Fem'!$C2:$AH2)</f>
        <v>0</v>
      </c>
      <c r="G26">
        <f>LOOKUP('Hypothèses et Graphiques'!H$6,'Liste solde migratoire Fem'!$C$1:$AH$1,'Liste solde migratoire Fem'!$C2:$AH2)</f>
        <v>0</v>
      </c>
      <c r="H26">
        <f>LOOKUP('Hypothèses et Graphiques'!I$6,'Liste solde migratoire Fem'!$C$1:$AH$1,'Liste solde migratoire Fem'!$C2:$AH2)</f>
        <v>0</v>
      </c>
      <c r="I26">
        <f>LOOKUP('Hypothèses et Graphiques'!J$6,'Liste solde migratoire Fem'!$C$1:$AH$1,'Liste solde migratoire Fem'!$C2:$AH2)</f>
        <v>0</v>
      </c>
      <c r="J26">
        <f>LOOKUP('Hypothèses et Graphiques'!K$6,'Liste solde migratoire Fem'!$C$1:$AH$1,'Liste solde migratoire Fem'!$C2:$AH2)</f>
        <v>0</v>
      </c>
      <c r="K26">
        <f>LOOKUP('Hypothèses et Graphiques'!L$6,'Liste solde migratoire Fem'!$C$1:$AH$1,'Liste solde migratoire Fem'!$C2:$AH2)</f>
        <v>0</v>
      </c>
      <c r="L26">
        <f>LOOKUP('Hypothèses et Graphiques'!M$6,'Liste solde migratoire Fem'!$C$1:$AH$1,'Liste solde migratoire Fem'!$C2:$AH2)</f>
        <v>0</v>
      </c>
      <c r="M26">
        <f>LOOKUP('Hypothèses et Graphiques'!N$6,'Liste solde migratoire Fem'!$C$1:$AH$1,'Liste solde migratoire Fem'!$C2:$AH2)</f>
        <v>0</v>
      </c>
      <c r="N26">
        <f>LOOKUP('Hypothèses et Graphiques'!O$6,'Liste solde migratoire Fem'!$C$1:$AH$1,'Liste solde migratoire Fem'!$C2:$AH2)</f>
        <v>0</v>
      </c>
      <c r="O26">
        <f>LOOKUP('Hypothèses et Graphiques'!P$6,'Liste solde migratoire Fem'!$C$1:$AH$1,'Liste solde migratoire Fem'!$C2:$AH2)</f>
        <v>0</v>
      </c>
      <c r="P26">
        <f>LOOKUP('Hypothèses et Graphiques'!Q$6,'Liste solde migratoire Fem'!$C$1:$AH$1,'Liste solde migratoire Fem'!$C2:$AH2)</f>
        <v>0</v>
      </c>
      <c r="Q26">
        <f>LOOKUP('Hypothèses et Graphiques'!R$6,'Liste solde migratoire Fem'!$C$1:$AH$1,'Liste solde migratoire Fem'!$C2:$AH2)</f>
        <v>0</v>
      </c>
      <c r="R26">
        <f>LOOKUP('Hypothèses et Graphiques'!S$6,'Liste solde migratoire Fem'!$C$1:$AH$1,'Liste solde migratoire Fem'!$C2:$AH2)</f>
        <v>0</v>
      </c>
      <c r="S26">
        <f>LOOKUP('Hypothèses et Graphiques'!T$6,'Liste solde migratoire Fem'!$C$1:$AH$1,'Liste solde migratoire Fem'!$C2:$AH2)</f>
        <v>0</v>
      </c>
    </row>
    <row r="27" spans="1:19" x14ac:dyDescent="0.25">
      <c r="A27" s="5" t="s">
        <v>7</v>
      </c>
      <c r="B27" s="12" t="s">
        <v>8</v>
      </c>
      <c r="C27">
        <f>LOOKUP('Hypothèses et Graphiques'!D$6,'Liste solde migratoire Fem'!$C$1:$AH$1,'Liste solde migratoire Fem'!$C3:$AH3)</f>
        <v>0</v>
      </c>
      <c r="D27">
        <f>LOOKUP('Hypothèses et Graphiques'!E$6,'Liste solde migratoire Fem'!$C$1:$AH$1,'Liste solde migratoire Fem'!$C3:$AH3)</f>
        <v>0</v>
      </c>
      <c r="E27">
        <f>LOOKUP('Hypothèses et Graphiques'!F$6,'Liste solde migratoire Fem'!$C$1:$AH$1,'Liste solde migratoire Fem'!$C3:$AH3)</f>
        <v>0</v>
      </c>
      <c r="F27">
        <f>LOOKUP('Hypothèses et Graphiques'!G$6,'Liste solde migratoire Fem'!$C$1:$AH$1,'Liste solde migratoire Fem'!$C3:$AH3)</f>
        <v>0</v>
      </c>
      <c r="G27">
        <f>LOOKUP('Hypothèses et Graphiques'!H$6,'Liste solde migratoire Fem'!$C$1:$AH$1,'Liste solde migratoire Fem'!$C3:$AH3)</f>
        <v>0</v>
      </c>
      <c r="H27">
        <f>LOOKUP('Hypothèses et Graphiques'!I$6,'Liste solde migratoire Fem'!$C$1:$AH$1,'Liste solde migratoire Fem'!$C3:$AH3)</f>
        <v>0</v>
      </c>
      <c r="I27">
        <f>LOOKUP('Hypothèses et Graphiques'!J$6,'Liste solde migratoire Fem'!$C$1:$AH$1,'Liste solde migratoire Fem'!$C3:$AH3)</f>
        <v>0</v>
      </c>
      <c r="J27">
        <f>LOOKUP('Hypothèses et Graphiques'!K$6,'Liste solde migratoire Fem'!$C$1:$AH$1,'Liste solde migratoire Fem'!$C3:$AH3)</f>
        <v>0</v>
      </c>
      <c r="K27">
        <f>LOOKUP('Hypothèses et Graphiques'!L$6,'Liste solde migratoire Fem'!$C$1:$AH$1,'Liste solde migratoire Fem'!$C3:$AH3)</f>
        <v>0</v>
      </c>
      <c r="L27">
        <f>LOOKUP('Hypothèses et Graphiques'!M$6,'Liste solde migratoire Fem'!$C$1:$AH$1,'Liste solde migratoire Fem'!$C3:$AH3)</f>
        <v>0</v>
      </c>
      <c r="M27">
        <f>LOOKUP('Hypothèses et Graphiques'!N$6,'Liste solde migratoire Fem'!$C$1:$AH$1,'Liste solde migratoire Fem'!$C3:$AH3)</f>
        <v>0</v>
      </c>
      <c r="N27">
        <f>LOOKUP('Hypothèses et Graphiques'!O$6,'Liste solde migratoire Fem'!$C$1:$AH$1,'Liste solde migratoire Fem'!$C3:$AH3)</f>
        <v>0</v>
      </c>
      <c r="O27">
        <f>LOOKUP('Hypothèses et Graphiques'!P$6,'Liste solde migratoire Fem'!$C$1:$AH$1,'Liste solde migratoire Fem'!$C3:$AH3)</f>
        <v>0</v>
      </c>
      <c r="P27">
        <f>LOOKUP('Hypothèses et Graphiques'!Q$6,'Liste solde migratoire Fem'!$C$1:$AH$1,'Liste solde migratoire Fem'!$C3:$AH3)</f>
        <v>0</v>
      </c>
      <c r="Q27">
        <f>LOOKUP('Hypothèses et Graphiques'!R$6,'Liste solde migratoire Fem'!$C$1:$AH$1,'Liste solde migratoire Fem'!$C3:$AH3)</f>
        <v>0</v>
      </c>
      <c r="R27">
        <f>LOOKUP('Hypothèses et Graphiques'!S$6,'Liste solde migratoire Fem'!$C$1:$AH$1,'Liste solde migratoire Fem'!$C3:$AH3)</f>
        <v>0</v>
      </c>
      <c r="S27">
        <f>LOOKUP('Hypothèses et Graphiques'!T$6,'Liste solde migratoire Fem'!$C$1:$AH$1,'Liste solde migratoire Fem'!$C3:$AH3)</f>
        <v>0</v>
      </c>
    </row>
    <row r="28" spans="1:19" x14ac:dyDescent="0.25">
      <c r="A28" s="5" t="s">
        <v>8</v>
      </c>
      <c r="B28" s="13" t="s">
        <v>9</v>
      </c>
      <c r="C28">
        <f>LOOKUP('Hypothèses et Graphiques'!D$6,'Liste solde migratoire Fem'!$C$1:$AH$1,'Liste solde migratoire Fem'!$C4:$AH4)</f>
        <v>0</v>
      </c>
      <c r="D28">
        <f>LOOKUP('Hypothèses et Graphiques'!E$6,'Liste solde migratoire Fem'!$C$1:$AH$1,'Liste solde migratoire Fem'!$C4:$AH4)</f>
        <v>0</v>
      </c>
      <c r="E28">
        <f>LOOKUP('Hypothèses et Graphiques'!F$6,'Liste solde migratoire Fem'!$C$1:$AH$1,'Liste solde migratoire Fem'!$C4:$AH4)</f>
        <v>0</v>
      </c>
      <c r="F28">
        <f>LOOKUP('Hypothèses et Graphiques'!G$6,'Liste solde migratoire Fem'!$C$1:$AH$1,'Liste solde migratoire Fem'!$C4:$AH4)</f>
        <v>0</v>
      </c>
      <c r="G28">
        <f>LOOKUP('Hypothèses et Graphiques'!H$6,'Liste solde migratoire Fem'!$C$1:$AH$1,'Liste solde migratoire Fem'!$C4:$AH4)</f>
        <v>0</v>
      </c>
      <c r="H28">
        <f>LOOKUP('Hypothèses et Graphiques'!I$6,'Liste solde migratoire Fem'!$C$1:$AH$1,'Liste solde migratoire Fem'!$C4:$AH4)</f>
        <v>0</v>
      </c>
      <c r="I28">
        <f>LOOKUP('Hypothèses et Graphiques'!J$6,'Liste solde migratoire Fem'!$C$1:$AH$1,'Liste solde migratoire Fem'!$C4:$AH4)</f>
        <v>0</v>
      </c>
      <c r="J28">
        <f>LOOKUP('Hypothèses et Graphiques'!K$6,'Liste solde migratoire Fem'!$C$1:$AH$1,'Liste solde migratoire Fem'!$C4:$AH4)</f>
        <v>0</v>
      </c>
      <c r="K28">
        <f>LOOKUP('Hypothèses et Graphiques'!L$6,'Liste solde migratoire Fem'!$C$1:$AH$1,'Liste solde migratoire Fem'!$C4:$AH4)</f>
        <v>0</v>
      </c>
      <c r="L28">
        <f>LOOKUP('Hypothèses et Graphiques'!M$6,'Liste solde migratoire Fem'!$C$1:$AH$1,'Liste solde migratoire Fem'!$C4:$AH4)</f>
        <v>0</v>
      </c>
      <c r="M28">
        <f>LOOKUP('Hypothèses et Graphiques'!N$6,'Liste solde migratoire Fem'!$C$1:$AH$1,'Liste solde migratoire Fem'!$C4:$AH4)</f>
        <v>0</v>
      </c>
      <c r="N28">
        <f>LOOKUP('Hypothèses et Graphiques'!O$6,'Liste solde migratoire Fem'!$C$1:$AH$1,'Liste solde migratoire Fem'!$C4:$AH4)</f>
        <v>0</v>
      </c>
      <c r="O28">
        <f>LOOKUP('Hypothèses et Graphiques'!P$6,'Liste solde migratoire Fem'!$C$1:$AH$1,'Liste solde migratoire Fem'!$C4:$AH4)</f>
        <v>0</v>
      </c>
      <c r="P28">
        <f>LOOKUP('Hypothèses et Graphiques'!Q$6,'Liste solde migratoire Fem'!$C$1:$AH$1,'Liste solde migratoire Fem'!$C4:$AH4)</f>
        <v>0</v>
      </c>
      <c r="Q28">
        <f>LOOKUP('Hypothèses et Graphiques'!R$6,'Liste solde migratoire Fem'!$C$1:$AH$1,'Liste solde migratoire Fem'!$C4:$AH4)</f>
        <v>0</v>
      </c>
      <c r="R28">
        <f>LOOKUP('Hypothèses et Graphiques'!S$6,'Liste solde migratoire Fem'!$C$1:$AH$1,'Liste solde migratoire Fem'!$C4:$AH4)</f>
        <v>0</v>
      </c>
      <c r="S28">
        <f>LOOKUP('Hypothèses et Graphiques'!T$6,'Liste solde migratoire Fem'!$C$1:$AH$1,'Liste solde migratoire Fem'!$C4:$AH4)</f>
        <v>0</v>
      </c>
    </row>
    <row r="29" spans="1:19" x14ac:dyDescent="0.25">
      <c r="A29" s="5" t="s">
        <v>9</v>
      </c>
      <c r="B29" s="5" t="s">
        <v>0</v>
      </c>
      <c r="C29">
        <f>LOOKUP('Hypothèses et Graphiques'!D$6,'Liste solde migratoire Fem'!$C$1:$AH$1,'Liste solde migratoire Fem'!$C5:$AH5)</f>
        <v>0</v>
      </c>
      <c r="D29">
        <f>LOOKUP('Hypothèses et Graphiques'!E$6,'Liste solde migratoire Fem'!$C$1:$AH$1,'Liste solde migratoire Fem'!$C5:$AH5)</f>
        <v>0</v>
      </c>
      <c r="E29">
        <f>LOOKUP('Hypothèses et Graphiques'!F$6,'Liste solde migratoire Fem'!$C$1:$AH$1,'Liste solde migratoire Fem'!$C5:$AH5)</f>
        <v>0</v>
      </c>
      <c r="F29">
        <f>LOOKUP('Hypothèses et Graphiques'!G$6,'Liste solde migratoire Fem'!$C$1:$AH$1,'Liste solde migratoire Fem'!$C5:$AH5)</f>
        <v>0</v>
      </c>
      <c r="G29">
        <f>LOOKUP('Hypothèses et Graphiques'!H$6,'Liste solde migratoire Fem'!$C$1:$AH$1,'Liste solde migratoire Fem'!$C5:$AH5)</f>
        <v>0</v>
      </c>
      <c r="H29">
        <f>LOOKUP('Hypothèses et Graphiques'!I$6,'Liste solde migratoire Fem'!$C$1:$AH$1,'Liste solde migratoire Fem'!$C5:$AH5)</f>
        <v>0</v>
      </c>
      <c r="I29">
        <f>LOOKUP('Hypothèses et Graphiques'!J$6,'Liste solde migratoire Fem'!$C$1:$AH$1,'Liste solde migratoire Fem'!$C5:$AH5)</f>
        <v>0</v>
      </c>
      <c r="J29">
        <f>LOOKUP('Hypothèses et Graphiques'!K$6,'Liste solde migratoire Fem'!$C$1:$AH$1,'Liste solde migratoire Fem'!$C5:$AH5)</f>
        <v>0</v>
      </c>
      <c r="K29">
        <f>LOOKUP('Hypothèses et Graphiques'!L$6,'Liste solde migratoire Fem'!$C$1:$AH$1,'Liste solde migratoire Fem'!$C5:$AH5)</f>
        <v>0</v>
      </c>
      <c r="L29">
        <f>LOOKUP('Hypothèses et Graphiques'!M$6,'Liste solde migratoire Fem'!$C$1:$AH$1,'Liste solde migratoire Fem'!$C5:$AH5)</f>
        <v>0</v>
      </c>
      <c r="M29">
        <f>LOOKUP('Hypothèses et Graphiques'!N$6,'Liste solde migratoire Fem'!$C$1:$AH$1,'Liste solde migratoire Fem'!$C5:$AH5)</f>
        <v>0</v>
      </c>
      <c r="N29">
        <f>LOOKUP('Hypothèses et Graphiques'!O$6,'Liste solde migratoire Fem'!$C$1:$AH$1,'Liste solde migratoire Fem'!$C5:$AH5)</f>
        <v>0</v>
      </c>
      <c r="O29">
        <f>LOOKUP('Hypothèses et Graphiques'!P$6,'Liste solde migratoire Fem'!$C$1:$AH$1,'Liste solde migratoire Fem'!$C5:$AH5)</f>
        <v>0</v>
      </c>
      <c r="P29">
        <f>LOOKUP('Hypothèses et Graphiques'!Q$6,'Liste solde migratoire Fem'!$C$1:$AH$1,'Liste solde migratoire Fem'!$C5:$AH5)</f>
        <v>0</v>
      </c>
      <c r="Q29">
        <f>LOOKUP('Hypothèses et Graphiques'!R$6,'Liste solde migratoire Fem'!$C$1:$AH$1,'Liste solde migratoire Fem'!$C5:$AH5)</f>
        <v>0</v>
      </c>
      <c r="R29">
        <f>LOOKUP('Hypothèses et Graphiques'!S$6,'Liste solde migratoire Fem'!$C$1:$AH$1,'Liste solde migratoire Fem'!$C5:$AH5)</f>
        <v>0</v>
      </c>
      <c r="S29">
        <f>LOOKUP('Hypothèses et Graphiques'!T$6,'Liste solde migratoire Fem'!$C$1:$AH$1,'Liste solde migratoire Fem'!$C5:$AH5)</f>
        <v>0</v>
      </c>
    </row>
    <row r="30" spans="1:19" x14ac:dyDescent="0.25">
      <c r="A30" s="5" t="s">
        <v>0</v>
      </c>
      <c r="B30" s="5" t="s">
        <v>1</v>
      </c>
      <c r="C30">
        <f>LOOKUP('Hypothèses et Graphiques'!D$6,'Liste solde migratoire Fem'!$C$1:$AH$1,'Liste solde migratoire Fem'!$C6:$AH6)</f>
        <v>0</v>
      </c>
      <c r="D30">
        <f>LOOKUP('Hypothèses et Graphiques'!E$6,'Liste solde migratoire Fem'!$C$1:$AH$1,'Liste solde migratoire Fem'!$C6:$AH6)</f>
        <v>0</v>
      </c>
      <c r="E30">
        <f>LOOKUP('Hypothèses et Graphiques'!F$6,'Liste solde migratoire Fem'!$C$1:$AH$1,'Liste solde migratoire Fem'!$C6:$AH6)</f>
        <v>0</v>
      </c>
      <c r="F30">
        <f>LOOKUP('Hypothèses et Graphiques'!G$6,'Liste solde migratoire Fem'!$C$1:$AH$1,'Liste solde migratoire Fem'!$C6:$AH6)</f>
        <v>0</v>
      </c>
      <c r="G30">
        <f>LOOKUP('Hypothèses et Graphiques'!H$6,'Liste solde migratoire Fem'!$C$1:$AH$1,'Liste solde migratoire Fem'!$C6:$AH6)</f>
        <v>0</v>
      </c>
      <c r="H30">
        <f>LOOKUP('Hypothèses et Graphiques'!I$6,'Liste solde migratoire Fem'!$C$1:$AH$1,'Liste solde migratoire Fem'!$C6:$AH6)</f>
        <v>0</v>
      </c>
      <c r="I30">
        <f>LOOKUP('Hypothèses et Graphiques'!J$6,'Liste solde migratoire Fem'!$C$1:$AH$1,'Liste solde migratoire Fem'!$C6:$AH6)</f>
        <v>0</v>
      </c>
      <c r="J30">
        <f>LOOKUP('Hypothèses et Graphiques'!K$6,'Liste solde migratoire Fem'!$C$1:$AH$1,'Liste solde migratoire Fem'!$C6:$AH6)</f>
        <v>0</v>
      </c>
      <c r="K30">
        <f>LOOKUP('Hypothèses et Graphiques'!L$6,'Liste solde migratoire Fem'!$C$1:$AH$1,'Liste solde migratoire Fem'!$C6:$AH6)</f>
        <v>0</v>
      </c>
      <c r="L30">
        <f>LOOKUP('Hypothèses et Graphiques'!M$6,'Liste solde migratoire Fem'!$C$1:$AH$1,'Liste solde migratoire Fem'!$C6:$AH6)</f>
        <v>0</v>
      </c>
      <c r="M30">
        <f>LOOKUP('Hypothèses et Graphiques'!N$6,'Liste solde migratoire Fem'!$C$1:$AH$1,'Liste solde migratoire Fem'!$C6:$AH6)</f>
        <v>0</v>
      </c>
      <c r="N30">
        <f>LOOKUP('Hypothèses et Graphiques'!O$6,'Liste solde migratoire Fem'!$C$1:$AH$1,'Liste solde migratoire Fem'!$C6:$AH6)</f>
        <v>0</v>
      </c>
      <c r="O30">
        <f>LOOKUP('Hypothèses et Graphiques'!P$6,'Liste solde migratoire Fem'!$C$1:$AH$1,'Liste solde migratoire Fem'!$C6:$AH6)</f>
        <v>0</v>
      </c>
      <c r="P30">
        <f>LOOKUP('Hypothèses et Graphiques'!Q$6,'Liste solde migratoire Fem'!$C$1:$AH$1,'Liste solde migratoire Fem'!$C6:$AH6)</f>
        <v>0</v>
      </c>
      <c r="Q30">
        <f>LOOKUP('Hypothèses et Graphiques'!R$6,'Liste solde migratoire Fem'!$C$1:$AH$1,'Liste solde migratoire Fem'!$C6:$AH6)</f>
        <v>0</v>
      </c>
      <c r="R30">
        <f>LOOKUP('Hypothèses et Graphiques'!S$6,'Liste solde migratoire Fem'!$C$1:$AH$1,'Liste solde migratoire Fem'!$C6:$AH6)</f>
        <v>0</v>
      </c>
      <c r="S30">
        <f>LOOKUP('Hypothèses et Graphiques'!T$6,'Liste solde migratoire Fem'!$C$1:$AH$1,'Liste solde migratoire Fem'!$C6:$AH6)</f>
        <v>0</v>
      </c>
    </row>
    <row r="31" spans="1:19" x14ac:dyDescent="0.25">
      <c r="A31" s="5" t="s">
        <v>1</v>
      </c>
      <c r="B31" s="5" t="s">
        <v>2</v>
      </c>
      <c r="C31">
        <f>LOOKUP('Hypothèses et Graphiques'!D$6,'Liste solde migratoire Fem'!$C$1:$AH$1,'Liste solde migratoire Fem'!$C7:$AH7)</f>
        <v>0</v>
      </c>
      <c r="D31">
        <f>LOOKUP('Hypothèses et Graphiques'!E$6,'Liste solde migratoire Fem'!$C$1:$AH$1,'Liste solde migratoire Fem'!$C7:$AH7)</f>
        <v>0</v>
      </c>
      <c r="E31">
        <f>LOOKUP('Hypothèses et Graphiques'!F$6,'Liste solde migratoire Fem'!$C$1:$AH$1,'Liste solde migratoire Fem'!$C7:$AH7)</f>
        <v>0</v>
      </c>
      <c r="F31">
        <f>LOOKUP('Hypothèses et Graphiques'!G$6,'Liste solde migratoire Fem'!$C$1:$AH$1,'Liste solde migratoire Fem'!$C7:$AH7)</f>
        <v>0</v>
      </c>
      <c r="G31">
        <f>LOOKUP('Hypothèses et Graphiques'!H$6,'Liste solde migratoire Fem'!$C$1:$AH$1,'Liste solde migratoire Fem'!$C7:$AH7)</f>
        <v>0</v>
      </c>
      <c r="H31">
        <f>LOOKUP('Hypothèses et Graphiques'!I$6,'Liste solde migratoire Fem'!$C$1:$AH$1,'Liste solde migratoire Fem'!$C7:$AH7)</f>
        <v>0</v>
      </c>
      <c r="I31">
        <f>LOOKUP('Hypothèses et Graphiques'!J$6,'Liste solde migratoire Fem'!$C$1:$AH$1,'Liste solde migratoire Fem'!$C7:$AH7)</f>
        <v>0</v>
      </c>
      <c r="J31">
        <f>LOOKUP('Hypothèses et Graphiques'!K$6,'Liste solde migratoire Fem'!$C$1:$AH$1,'Liste solde migratoire Fem'!$C7:$AH7)</f>
        <v>0</v>
      </c>
      <c r="K31">
        <f>LOOKUP('Hypothèses et Graphiques'!L$6,'Liste solde migratoire Fem'!$C$1:$AH$1,'Liste solde migratoire Fem'!$C7:$AH7)</f>
        <v>0</v>
      </c>
      <c r="L31">
        <f>LOOKUP('Hypothèses et Graphiques'!M$6,'Liste solde migratoire Fem'!$C$1:$AH$1,'Liste solde migratoire Fem'!$C7:$AH7)</f>
        <v>0</v>
      </c>
      <c r="M31">
        <f>LOOKUP('Hypothèses et Graphiques'!N$6,'Liste solde migratoire Fem'!$C$1:$AH$1,'Liste solde migratoire Fem'!$C7:$AH7)</f>
        <v>0</v>
      </c>
      <c r="N31">
        <f>LOOKUP('Hypothèses et Graphiques'!O$6,'Liste solde migratoire Fem'!$C$1:$AH$1,'Liste solde migratoire Fem'!$C7:$AH7)</f>
        <v>0</v>
      </c>
      <c r="O31">
        <f>LOOKUP('Hypothèses et Graphiques'!P$6,'Liste solde migratoire Fem'!$C$1:$AH$1,'Liste solde migratoire Fem'!$C7:$AH7)</f>
        <v>0</v>
      </c>
      <c r="P31">
        <f>LOOKUP('Hypothèses et Graphiques'!Q$6,'Liste solde migratoire Fem'!$C$1:$AH$1,'Liste solde migratoire Fem'!$C7:$AH7)</f>
        <v>0</v>
      </c>
      <c r="Q31">
        <f>LOOKUP('Hypothèses et Graphiques'!R$6,'Liste solde migratoire Fem'!$C$1:$AH$1,'Liste solde migratoire Fem'!$C7:$AH7)</f>
        <v>0</v>
      </c>
      <c r="R31">
        <f>LOOKUP('Hypothèses et Graphiques'!S$6,'Liste solde migratoire Fem'!$C$1:$AH$1,'Liste solde migratoire Fem'!$C7:$AH7)</f>
        <v>0</v>
      </c>
      <c r="S31">
        <f>LOOKUP('Hypothèses et Graphiques'!T$6,'Liste solde migratoire Fem'!$C$1:$AH$1,'Liste solde migratoire Fem'!$C7:$AH7)</f>
        <v>0</v>
      </c>
    </row>
    <row r="32" spans="1:19" x14ac:dyDescent="0.25">
      <c r="A32" s="5" t="s">
        <v>2</v>
      </c>
      <c r="B32" s="5" t="s">
        <v>3</v>
      </c>
      <c r="C32">
        <f>LOOKUP('Hypothèses et Graphiques'!D$6,'Liste solde migratoire Fem'!$C$1:$AH$1,'Liste solde migratoire Fem'!$C8:$AH8)</f>
        <v>0</v>
      </c>
      <c r="D32">
        <f>LOOKUP('Hypothèses et Graphiques'!E$6,'Liste solde migratoire Fem'!$C$1:$AH$1,'Liste solde migratoire Fem'!$C8:$AH8)</f>
        <v>0</v>
      </c>
      <c r="E32">
        <f>LOOKUP('Hypothèses et Graphiques'!F$6,'Liste solde migratoire Fem'!$C$1:$AH$1,'Liste solde migratoire Fem'!$C8:$AH8)</f>
        <v>0</v>
      </c>
      <c r="F32">
        <f>LOOKUP('Hypothèses et Graphiques'!G$6,'Liste solde migratoire Fem'!$C$1:$AH$1,'Liste solde migratoire Fem'!$C8:$AH8)</f>
        <v>0</v>
      </c>
      <c r="G32">
        <f>LOOKUP('Hypothèses et Graphiques'!H$6,'Liste solde migratoire Fem'!$C$1:$AH$1,'Liste solde migratoire Fem'!$C8:$AH8)</f>
        <v>0</v>
      </c>
      <c r="H32">
        <f>LOOKUP('Hypothèses et Graphiques'!I$6,'Liste solde migratoire Fem'!$C$1:$AH$1,'Liste solde migratoire Fem'!$C8:$AH8)</f>
        <v>0</v>
      </c>
      <c r="I32">
        <f>LOOKUP('Hypothèses et Graphiques'!J$6,'Liste solde migratoire Fem'!$C$1:$AH$1,'Liste solde migratoire Fem'!$C8:$AH8)</f>
        <v>0</v>
      </c>
      <c r="J32">
        <f>LOOKUP('Hypothèses et Graphiques'!K$6,'Liste solde migratoire Fem'!$C$1:$AH$1,'Liste solde migratoire Fem'!$C8:$AH8)</f>
        <v>0</v>
      </c>
      <c r="K32">
        <f>LOOKUP('Hypothèses et Graphiques'!L$6,'Liste solde migratoire Fem'!$C$1:$AH$1,'Liste solde migratoire Fem'!$C8:$AH8)</f>
        <v>0</v>
      </c>
      <c r="L32">
        <f>LOOKUP('Hypothèses et Graphiques'!M$6,'Liste solde migratoire Fem'!$C$1:$AH$1,'Liste solde migratoire Fem'!$C8:$AH8)</f>
        <v>0</v>
      </c>
      <c r="M32">
        <f>LOOKUP('Hypothèses et Graphiques'!N$6,'Liste solde migratoire Fem'!$C$1:$AH$1,'Liste solde migratoire Fem'!$C8:$AH8)</f>
        <v>0</v>
      </c>
      <c r="N32">
        <f>LOOKUP('Hypothèses et Graphiques'!O$6,'Liste solde migratoire Fem'!$C$1:$AH$1,'Liste solde migratoire Fem'!$C8:$AH8)</f>
        <v>0</v>
      </c>
      <c r="O32">
        <f>LOOKUP('Hypothèses et Graphiques'!P$6,'Liste solde migratoire Fem'!$C$1:$AH$1,'Liste solde migratoire Fem'!$C8:$AH8)</f>
        <v>0</v>
      </c>
      <c r="P32">
        <f>LOOKUP('Hypothèses et Graphiques'!Q$6,'Liste solde migratoire Fem'!$C$1:$AH$1,'Liste solde migratoire Fem'!$C8:$AH8)</f>
        <v>0</v>
      </c>
      <c r="Q32">
        <f>LOOKUP('Hypothèses et Graphiques'!R$6,'Liste solde migratoire Fem'!$C$1:$AH$1,'Liste solde migratoire Fem'!$C8:$AH8)</f>
        <v>0</v>
      </c>
      <c r="R32">
        <f>LOOKUP('Hypothèses et Graphiques'!S$6,'Liste solde migratoire Fem'!$C$1:$AH$1,'Liste solde migratoire Fem'!$C8:$AH8)</f>
        <v>0</v>
      </c>
      <c r="S32">
        <f>LOOKUP('Hypothèses et Graphiques'!T$6,'Liste solde migratoire Fem'!$C$1:$AH$1,'Liste solde migratoire Fem'!$C8:$AH8)</f>
        <v>0</v>
      </c>
    </row>
    <row r="33" spans="1:19" x14ac:dyDescent="0.25">
      <c r="A33" s="5" t="s">
        <v>3</v>
      </c>
      <c r="B33" s="5" t="s">
        <v>4</v>
      </c>
      <c r="C33">
        <f>LOOKUP('Hypothèses et Graphiques'!D$6,'Liste solde migratoire Fem'!$C$1:$AH$1,'Liste solde migratoire Fem'!$C9:$AH9)</f>
        <v>0</v>
      </c>
      <c r="D33">
        <f>LOOKUP('Hypothèses et Graphiques'!E$6,'Liste solde migratoire Fem'!$C$1:$AH$1,'Liste solde migratoire Fem'!$C9:$AH9)</f>
        <v>0</v>
      </c>
      <c r="E33">
        <f>LOOKUP('Hypothèses et Graphiques'!F$6,'Liste solde migratoire Fem'!$C$1:$AH$1,'Liste solde migratoire Fem'!$C9:$AH9)</f>
        <v>0</v>
      </c>
      <c r="F33">
        <f>LOOKUP('Hypothèses et Graphiques'!G$6,'Liste solde migratoire Fem'!$C$1:$AH$1,'Liste solde migratoire Fem'!$C9:$AH9)</f>
        <v>0</v>
      </c>
      <c r="G33">
        <f>LOOKUP('Hypothèses et Graphiques'!H$6,'Liste solde migratoire Fem'!$C$1:$AH$1,'Liste solde migratoire Fem'!$C9:$AH9)</f>
        <v>0</v>
      </c>
      <c r="H33">
        <f>LOOKUP('Hypothèses et Graphiques'!I$6,'Liste solde migratoire Fem'!$C$1:$AH$1,'Liste solde migratoire Fem'!$C9:$AH9)</f>
        <v>0</v>
      </c>
      <c r="I33">
        <f>LOOKUP('Hypothèses et Graphiques'!J$6,'Liste solde migratoire Fem'!$C$1:$AH$1,'Liste solde migratoire Fem'!$C9:$AH9)</f>
        <v>0</v>
      </c>
      <c r="J33">
        <f>LOOKUP('Hypothèses et Graphiques'!K$6,'Liste solde migratoire Fem'!$C$1:$AH$1,'Liste solde migratoire Fem'!$C9:$AH9)</f>
        <v>0</v>
      </c>
      <c r="K33">
        <f>LOOKUP('Hypothèses et Graphiques'!L$6,'Liste solde migratoire Fem'!$C$1:$AH$1,'Liste solde migratoire Fem'!$C9:$AH9)</f>
        <v>0</v>
      </c>
      <c r="L33">
        <f>LOOKUP('Hypothèses et Graphiques'!M$6,'Liste solde migratoire Fem'!$C$1:$AH$1,'Liste solde migratoire Fem'!$C9:$AH9)</f>
        <v>0</v>
      </c>
      <c r="M33">
        <f>LOOKUP('Hypothèses et Graphiques'!N$6,'Liste solde migratoire Fem'!$C$1:$AH$1,'Liste solde migratoire Fem'!$C9:$AH9)</f>
        <v>0</v>
      </c>
      <c r="N33">
        <f>LOOKUP('Hypothèses et Graphiques'!O$6,'Liste solde migratoire Fem'!$C$1:$AH$1,'Liste solde migratoire Fem'!$C9:$AH9)</f>
        <v>0</v>
      </c>
      <c r="O33">
        <f>LOOKUP('Hypothèses et Graphiques'!P$6,'Liste solde migratoire Fem'!$C$1:$AH$1,'Liste solde migratoire Fem'!$C9:$AH9)</f>
        <v>0</v>
      </c>
      <c r="P33">
        <f>LOOKUP('Hypothèses et Graphiques'!Q$6,'Liste solde migratoire Fem'!$C$1:$AH$1,'Liste solde migratoire Fem'!$C9:$AH9)</f>
        <v>0</v>
      </c>
      <c r="Q33">
        <f>LOOKUP('Hypothèses et Graphiques'!R$6,'Liste solde migratoire Fem'!$C$1:$AH$1,'Liste solde migratoire Fem'!$C9:$AH9)</f>
        <v>0</v>
      </c>
      <c r="R33">
        <f>LOOKUP('Hypothèses et Graphiques'!S$6,'Liste solde migratoire Fem'!$C$1:$AH$1,'Liste solde migratoire Fem'!$C9:$AH9)</f>
        <v>0</v>
      </c>
      <c r="S33">
        <f>LOOKUP('Hypothèses et Graphiques'!T$6,'Liste solde migratoire Fem'!$C$1:$AH$1,'Liste solde migratoire Fem'!$C9:$AH9)</f>
        <v>0</v>
      </c>
    </row>
    <row r="34" spans="1:19" x14ac:dyDescent="0.25">
      <c r="A34" s="5" t="s">
        <v>4</v>
      </c>
      <c r="B34" s="5" t="s">
        <v>5</v>
      </c>
      <c r="C34">
        <f>LOOKUP('Hypothèses et Graphiques'!D$6,'Liste solde migratoire Fem'!$C$1:$AH$1,'Liste solde migratoire Fem'!$C10:$AH10)</f>
        <v>0</v>
      </c>
      <c r="D34">
        <f>LOOKUP('Hypothèses et Graphiques'!E$6,'Liste solde migratoire Fem'!$C$1:$AH$1,'Liste solde migratoire Fem'!$C10:$AH10)</f>
        <v>0</v>
      </c>
      <c r="E34">
        <f>LOOKUP('Hypothèses et Graphiques'!F$6,'Liste solde migratoire Fem'!$C$1:$AH$1,'Liste solde migratoire Fem'!$C10:$AH10)</f>
        <v>0</v>
      </c>
      <c r="F34">
        <f>LOOKUP('Hypothèses et Graphiques'!G$6,'Liste solde migratoire Fem'!$C$1:$AH$1,'Liste solde migratoire Fem'!$C10:$AH10)</f>
        <v>0</v>
      </c>
      <c r="G34">
        <f>LOOKUP('Hypothèses et Graphiques'!H$6,'Liste solde migratoire Fem'!$C$1:$AH$1,'Liste solde migratoire Fem'!$C10:$AH10)</f>
        <v>0</v>
      </c>
      <c r="H34">
        <f>LOOKUP('Hypothèses et Graphiques'!I$6,'Liste solde migratoire Fem'!$C$1:$AH$1,'Liste solde migratoire Fem'!$C10:$AH10)</f>
        <v>0</v>
      </c>
      <c r="I34">
        <f>LOOKUP('Hypothèses et Graphiques'!J$6,'Liste solde migratoire Fem'!$C$1:$AH$1,'Liste solde migratoire Fem'!$C10:$AH10)</f>
        <v>0</v>
      </c>
      <c r="J34">
        <f>LOOKUP('Hypothèses et Graphiques'!K$6,'Liste solde migratoire Fem'!$C$1:$AH$1,'Liste solde migratoire Fem'!$C10:$AH10)</f>
        <v>0</v>
      </c>
      <c r="K34">
        <f>LOOKUP('Hypothèses et Graphiques'!L$6,'Liste solde migratoire Fem'!$C$1:$AH$1,'Liste solde migratoire Fem'!$C10:$AH10)</f>
        <v>0</v>
      </c>
      <c r="L34">
        <f>LOOKUP('Hypothèses et Graphiques'!M$6,'Liste solde migratoire Fem'!$C$1:$AH$1,'Liste solde migratoire Fem'!$C10:$AH10)</f>
        <v>0</v>
      </c>
      <c r="M34">
        <f>LOOKUP('Hypothèses et Graphiques'!N$6,'Liste solde migratoire Fem'!$C$1:$AH$1,'Liste solde migratoire Fem'!$C10:$AH10)</f>
        <v>0</v>
      </c>
      <c r="N34">
        <f>LOOKUP('Hypothèses et Graphiques'!O$6,'Liste solde migratoire Fem'!$C$1:$AH$1,'Liste solde migratoire Fem'!$C10:$AH10)</f>
        <v>0</v>
      </c>
      <c r="O34">
        <f>LOOKUP('Hypothèses et Graphiques'!P$6,'Liste solde migratoire Fem'!$C$1:$AH$1,'Liste solde migratoire Fem'!$C10:$AH10)</f>
        <v>0</v>
      </c>
      <c r="P34">
        <f>LOOKUP('Hypothèses et Graphiques'!Q$6,'Liste solde migratoire Fem'!$C$1:$AH$1,'Liste solde migratoire Fem'!$C10:$AH10)</f>
        <v>0</v>
      </c>
      <c r="Q34">
        <f>LOOKUP('Hypothèses et Graphiques'!R$6,'Liste solde migratoire Fem'!$C$1:$AH$1,'Liste solde migratoire Fem'!$C10:$AH10)</f>
        <v>0</v>
      </c>
      <c r="R34">
        <f>LOOKUP('Hypothèses et Graphiques'!S$6,'Liste solde migratoire Fem'!$C$1:$AH$1,'Liste solde migratoire Fem'!$C10:$AH10)</f>
        <v>0</v>
      </c>
      <c r="S34">
        <f>LOOKUP('Hypothèses et Graphiques'!T$6,'Liste solde migratoire Fem'!$C$1:$AH$1,'Liste solde migratoire Fem'!$C10:$AH10)</f>
        <v>0</v>
      </c>
    </row>
    <row r="35" spans="1:19" x14ac:dyDescent="0.25">
      <c r="A35" s="5" t="s">
        <v>5</v>
      </c>
      <c r="B35" s="5" t="s">
        <v>6</v>
      </c>
      <c r="C35">
        <f>LOOKUP('Hypothèses et Graphiques'!D$6,'Liste solde migratoire Fem'!$C$1:$AH$1,'Liste solde migratoire Fem'!$C11:$AH11)</f>
        <v>0</v>
      </c>
      <c r="D35">
        <f>LOOKUP('Hypothèses et Graphiques'!E$6,'Liste solde migratoire Fem'!$C$1:$AH$1,'Liste solde migratoire Fem'!$C11:$AH11)</f>
        <v>0</v>
      </c>
      <c r="E35">
        <f>LOOKUP('Hypothèses et Graphiques'!F$6,'Liste solde migratoire Fem'!$C$1:$AH$1,'Liste solde migratoire Fem'!$C11:$AH11)</f>
        <v>0</v>
      </c>
      <c r="F35">
        <f>LOOKUP('Hypothèses et Graphiques'!G$6,'Liste solde migratoire Fem'!$C$1:$AH$1,'Liste solde migratoire Fem'!$C11:$AH11)</f>
        <v>0</v>
      </c>
      <c r="G35">
        <f>LOOKUP('Hypothèses et Graphiques'!H$6,'Liste solde migratoire Fem'!$C$1:$AH$1,'Liste solde migratoire Fem'!$C11:$AH11)</f>
        <v>0</v>
      </c>
      <c r="H35">
        <f>LOOKUP('Hypothèses et Graphiques'!I$6,'Liste solde migratoire Fem'!$C$1:$AH$1,'Liste solde migratoire Fem'!$C11:$AH11)</f>
        <v>0</v>
      </c>
      <c r="I35">
        <f>LOOKUP('Hypothèses et Graphiques'!J$6,'Liste solde migratoire Fem'!$C$1:$AH$1,'Liste solde migratoire Fem'!$C11:$AH11)</f>
        <v>0</v>
      </c>
      <c r="J35">
        <f>LOOKUP('Hypothèses et Graphiques'!K$6,'Liste solde migratoire Fem'!$C$1:$AH$1,'Liste solde migratoire Fem'!$C11:$AH11)</f>
        <v>0</v>
      </c>
      <c r="K35">
        <f>LOOKUP('Hypothèses et Graphiques'!L$6,'Liste solde migratoire Fem'!$C$1:$AH$1,'Liste solde migratoire Fem'!$C11:$AH11)</f>
        <v>0</v>
      </c>
      <c r="L35">
        <f>LOOKUP('Hypothèses et Graphiques'!M$6,'Liste solde migratoire Fem'!$C$1:$AH$1,'Liste solde migratoire Fem'!$C11:$AH11)</f>
        <v>0</v>
      </c>
      <c r="M35">
        <f>LOOKUP('Hypothèses et Graphiques'!N$6,'Liste solde migratoire Fem'!$C$1:$AH$1,'Liste solde migratoire Fem'!$C11:$AH11)</f>
        <v>0</v>
      </c>
      <c r="N35">
        <f>LOOKUP('Hypothèses et Graphiques'!O$6,'Liste solde migratoire Fem'!$C$1:$AH$1,'Liste solde migratoire Fem'!$C11:$AH11)</f>
        <v>0</v>
      </c>
      <c r="O35">
        <f>LOOKUP('Hypothèses et Graphiques'!P$6,'Liste solde migratoire Fem'!$C$1:$AH$1,'Liste solde migratoire Fem'!$C11:$AH11)</f>
        <v>0</v>
      </c>
      <c r="P35">
        <f>LOOKUP('Hypothèses et Graphiques'!Q$6,'Liste solde migratoire Fem'!$C$1:$AH$1,'Liste solde migratoire Fem'!$C11:$AH11)</f>
        <v>0</v>
      </c>
      <c r="Q35">
        <f>LOOKUP('Hypothèses et Graphiques'!R$6,'Liste solde migratoire Fem'!$C$1:$AH$1,'Liste solde migratoire Fem'!$C11:$AH11)</f>
        <v>0</v>
      </c>
      <c r="R35">
        <f>LOOKUP('Hypothèses et Graphiques'!S$6,'Liste solde migratoire Fem'!$C$1:$AH$1,'Liste solde migratoire Fem'!$C11:$AH11)</f>
        <v>0</v>
      </c>
      <c r="S35">
        <f>LOOKUP('Hypothèses et Graphiques'!T$6,'Liste solde migratoire Fem'!$C$1:$AH$1,'Liste solde migratoire Fem'!$C11:$AH11)</f>
        <v>0</v>
      </c>
    </row>
    <row r="36" spans="1:19" x14ac:dyDescent="0.25">
      <c r="A36" s="5" t="s">
        <v>6</v>
      </c>
      <c r="B36" s="5" t="s">
        <v>10</v>
      </c>
      <c r="C36">
        <f>LOOKUP('Hypothèses et Graphiques'!D$6,'Liste solde migratoire Fem'!$C$1:$AH$1,'Liste solde migratoire Fem'!$C12:$AH12)</f>
        <v>0</v>
      </c>
      <c r="D36">
        <f>LOOKUP('Hypothèses et Graphiques'!E$6,'Liste solde migratoire Fem'!$C$1:$AH$1,'Liste solde migratoire Fem'!$C12:$AH12)</f>
        <v>0</v>
      </c>
      <c r="E36">
        <f>LOOKUP('Hypothèses et Graphiques'!F$6,'Liste solde migratoire Fem'!$C$1:$AH$1,'Liste solde migratoire Fem'!$C12:$AH12)</f>
        <v>0</v>
      </c>
      <c r="F36">
        <f>LOOKUP('Hypothèses et Graphiques'!G$6,'Liste solde migratoire Fem'!$C$1:$AH$1,'Liste solde migratoire Fem'!$C12:$AH12)</f>
        <v>0</v>
      </c>
      <c r="G36">
        <f>LOOKUP('Hypothèses et Graphiques'!H$6,'Liste solde migratoire Fem'!$C$1:$AH$1,'Liste solde migratoire Fem'!$C12:$AH12)</f>
        <v>0</v>
      </c>
      <c r="H36">
        <f>LOOKUP('Hypothèses et Graphiques'!I$6,'Liste solde migratoire Fem'!$C$1:$AH$1,'Liste solde migratoire Fem'!$C12:$AH12)</f>
        <v>0</v>
      </c>
      <c r="I36">
        <f>LOOKUP('Hypothèses et Graphiques'!J$6,'Liste solde migratoire Fem'!$C$1:$AH$1,'Liste solde migratoire Fem'!$C12:$AH12)</f>
        <v>0</v>
      </c>
      <c r="J36">
        <f>LOOKUP('Hypothèses et Graphiques'!K$6,'Liste solde migratoire Fem'!$C$1:$AH$1,'Liste solde migratoire Fem'!$C12:$AH12)</f>
        <v>0</v>
      </c>
      <c r="K36">
        <f>LOOKUP('Hypothèses et Graphiques'!L$6,'Liste solde migratoire Fem'!$C$1:$AH$1,'Liste solde migratoire Fem'!$C12:$AH12)</f>
        <v>0</v>
      </c>
      <c r="L36">
        <f>LOOKUP('Hypothèses et Graphiques'!M$6,'Liste solde migratoire Fem'!$C$1:$AH$1,'Liste solde migratoire Fem'!$C12:$AH12)</f>
        <v>0</v>
      </c>
      <c r="M36">
        <f>LOOKUP('Hypothèses et Graphiques'!N$6,'Liste solde migratoire Fem'!$C$1:$AH$1,'Liste solde migratoire Fem'!$C12:$AH12)</f>
        <v>0</v>
      </c>
      <c r="N36">
        <f>LOOKUP('Hypothèses et Graphiques'!O$6,'Liste solde migratoire Fem'!$C$1:$AH$1,'Liste solde migratoire Fem'!$C12:$AH12)</f>
        <v>0</v>
      </c>
      <c r="O36">
        <f>LOOKUP('Hypothèses et Graphiques'!P$6,'Liste solde migratoire Fem'!$C$1:$AH$1,'Liste solde migratoire Fem'!$C12:$AH12)</f>
        <v>0</v>
      </c>
      <c r="P36">
        <f>LOOKUP('Hypothèses et Graphiques'!Q$6,'Liste solde migratoire Fem'!$C$1:$AH$1,'Liste solde migratoire Fem'!$C12:$AH12)</f>
        <v>0</v>
      </c>
      <c r="Q36">
        <f>LOOKUP('Hypothèses et Graphiques'!R$6,'Liste solde migratoire Fem'!$C$1:$AH$1,'Liste solde migratoire Fem'!$C12:$AH12)</f>
        <v>0</v>
      </c>
      <c r="R36">
        <f>LOOKUP('Hypothèses et Graphiques'!S$6,'Liste solde migratoire Fem'!$C$1:$AH$1,'Liste solde migratoire Fem'!$C12:$AH12)</f>
        <v>0</v>
      </c>
      <c r="S36">
        <f>LOOKUP('Hypothèses et Graphiques'!T$6,'Liste solde migratoire Fem'!$C$1:$AH$1,'Liste solde migratoire Fem'!$C12:$AH12)</f>
        <v>0</v>
      </c>
    </row>
    <row r="37" spans="1:19" x14ac:dyDescent="0.25">
      <c r="A37" s="5" t="s">
        <v>10</v>
      </c>
      <c r="B37" s="5" t="s">
        <v>11</v>
      </c>
      <c r="C37">
        <f>LOOKUP('Hypothèses et Graphiques'!D$6,'Liste solde migratoire Fem'!$C$1:$AH$1,'Liste solde migratoire Fem'!$C13:$AH13)</f>
        <v>0</v>
      </c>
      <c r="D37">
        <f>LOOKUP('Hypothèses et Graphiques'!E$6,'Liste solde migratoire Fem'!$C$1:$AH$1,'Liste solde migratoire Fem'!$C13:$AH13)</f>
        <v>0</v>
      </c>
      <c r="E37">
        <f>LOOKUP('Hypothèses et Graphiques'!F$6,'Liste solde migratoire Fem'!$C$1:$AH$1,'Liste solde migratoire Fem'!$C13:$AH13)</f>
        <v>0</v>
      </c>
      <c r="F37">
        <f>LOOKUP('Hypothèses et Graphiques'!G$6,'Liste solde migratoire Fem'!$C$1:$AH$1,'Liste solde migratoire Fem'!$C13:$AH13)</f>
        <v>0</v>
      </c>
      <c r="G37">
        <f>LOOKUP('Hypothèses et Graphiques'!H$6,'Liste solde migratoire Fem'!$C$1:$AH$1,'Liste solde migratoire Fem'!$C13:$AH13)</f>
        <v>0</v>
      </c>
      <c r="H37">
        <f>LOOKUP('Hypothèses et Graphiques'!I$6,'Liste solde migratoire Fem'!$C$1:$AH$1,'Liste solde migratoire Fem'!$C13:$AH13)</f>
        <v>0</v>
      </c>
      <c r="I37">
        <f>LOOKUP('Hypothèses et Graphiques'!J$6,'Liste solde migratoire Fem'!$C$1:$AH$1,'Liste solde migratoire Fem'!$C13:$AH13)</f>
        <v>0</v>
      </c>
      <c r="J37">
        <f>LOOKUP('Hypothèses et Graphiques'!K$6,'Liste solde migratoire Fem'!$C$1:$AH$1,'Liste solde migratoire Fem'!$C13:$AH13)</f>
        <v>0</v>
      </c>
      <c r="K37">
        <f>LOOKUP('Hypothèses et Graphiques'!L$6,'Liste solde migratoire Fem'!$C$1:$AH$1,'Liste solde migratoire Fem'!$C13:$AH13)</f>
        <v>0</v>
      </c>
      <c r="L37">
        <f>LOOKUP('Hypothèses et Graphiques'!M$6,'Liste solde migratoire Fem'!$C$1:$AH$1,'Liste solde migratoire Fem'!$C13:$AH13)</f>
        <v>0</v>
      </c>
      <c r="M37">
        <f>LOOKUP('Hypothèses et Graphiques'!N$6,'Liste solde migratoire Fem'!$C$1:$AH$1,'Liste solde migratoire Fem'!$C13:$AH13)</f>
        <v>0</v>
      </c>
      <c r="N37">
        <f>LOOKUP('Hypothèses et Graphiques'!O$6,'Liste solde migratoire Fem'!$C$1:$AH$1,'Liste solde migratoire Fem'!$C13:$AH13)</f>
        <v>0</v>
      </c>
      <c r="O37">
        <f>LOOKUP('Hypothèses et Graphiques'!P$6,'Liste solde migratoire Fem'!$C$1:$AH$1,'Liste solde migratoire Fem'!$C13:$AH13)</f>
        <v>0</v>
      </c>
      <c r="P37">
        <f>LOOKUP('Hypothèses et Graphiques'!Q$6,'Liste solde migratoire Fem'!$C$1:$AH$1,'Liste solde migratoire Fem'!$C13:$AH13)</f>
        <v>0</v>
      </c>
      <c r="Q37">
        <f>LOOKUP('Hypothèses et Graphiques'!R$6,'Liste solde migratoire Fem'!$C$1:$AH$1,'Liste solde migratoire Fem'!$C13:$AH13)</f>
        <v>0</v>
      </c>
      <c r="R37">
        <f>LOOKUP('Hypothèses et Graphiques'!S$6,'Liste solde migratoire Fem'!$C$1:$AH$1,'Liste solde migratoire Fem'!$C13:$AH13)</f>
        <v>0</v>
      </c>
      <c r="S37">
        <f>LOOKUP('Hypothèses et Graphiques'!T$6,'Liste solde migratoire Fem'!$C$1:$AH$1,'Liste solde migratoire Fem'!$C13:$AH13)</f>
        <v>0</v>
      </c>
    </row>
    <row r="38" spans="1:19" x14ac:dyDescent="0.25">
      <c r="A38" s="5" t="s">
        <v>11</v>
      </c>
      <c r="B38" s="5" t="s">
        <v>12</v>
      </c>
      <c r="C38">
        <f>LOOKUP('Hypothèses et Graphiques'!D$6,'Liste solde migratoire Fem'!$C$1:$AH$1,'Liste solde migratoire Fem'!$C14:$AH14)</f>
        <v>0</v>
      </c>
      <c r="D38">
        <f>LOOKUP('Hypothèses et Graphiques'!E$6,'Liste solde migratoire Fem'!$C$1:$AH$1,'Liste solde migratoire Fem'!$C14:$AH14)</f>
        <v>0</v>
      </c>
      <c r="E38">
        <f>LOOKUP('Hypothèses et Graphiques'!F$6,'Liste solde migratoire Fem'!$C$1:$AH$1,'Liste solde migratoire Fem'!$C14:$AH14)</f>
        <v>0</v>
      </c>
      <c r="F38">
        <f>LOOKUP('Hypothèses et Graphiques'!G$6,'Liste solde migratoire Fem'!$C$1:$AH$1,'Liste solde migratoire Fem'!$C14:$AH14)</f>
        <v>0</v>
      </c>
      <c r="G38">
        <f>LOOKUP('Hypothèses et Graphiques'!H$6,'Liste solde migratoire Fem'!$C$1:$AH$1,'Liste solde migratoire Fem'!$C14:$AH14)</f>
        <v>0</v>
      </c>
      <c r="H38">
        <f>LOOKUP('Hypothèses et Graphiques'!I$6,'Liste solde migratoire Fem'!$C$1:$AH$1,'Liste solde migratoire Fem'!$C14:$AH14)</f>
        <v>0</v>
      </c>
      <c r="I38">
        <f>LOOKUP('Hypothèses et Graphiques'!J$6,'Liste solde migratoire Fem'!$C$1:$AH$1,'Liste solde migratoire Fem'!$C14:$AH14)</f>
        <v>0</v>
      </c>
      <c r="J38">
        <f>LOOKUP('Hypothèses et Graphiques'!K$6,'Liste solde migratoire Fem'!$C$1:$AH$1,'Liste solde migratoire Fem'!$C14:$AH14)</f>
        <v>0</v>
      </c>
      <c r="K38">
        <f>LOOKUP('Hypothèses et Graphiques'!L$6,'Liste solde migratoire Fem'!$C$1:$AH$1,'Liste solde migratoire Fem'!$C14:$AH14)</f>
        <v>0</v>
      </c>
      <c r="L38">
        <f>LOOKUP('Hypothèses et Graphiques'!M$6,'Liste solde migratoire Fem'!$C$1:$AH$1,'Liste solde migratoire Fem'!$C14:$AH14)</f>
        <v>0</v>
      </c>
      <c r="M38">
        <f>LOOKUP('Hypothèses et Graphiques'!N$6,'Liste solde migratoire Fem'!$C$1:$AH$1,'Liste solde migratoire Fem'!$C14:$AH14)</f>
        <v>0</v>
      </c>
      <c r="N38">
        <f>LOOKUP('Hypothèses et Graphiques'!O$6,'Liste solde migratoire Fem'!$C$1:$AH$1,'Liste solde migratoire Fem'!$C14:$AH14)</f>
        <v>0</v>
      </c>
      <c r="O38">
        <f>LOOKUP('Hypothèses et Graphiques'!P$6,'Liste solde migratoire Fem'!$C$1:$AH$1,'Liste solde migratoire Fem'!$C14:$AH14)</f>
        <v>0</v>
      </c>
      <c r="P38">
        <f>LOOKUP('Hypothèses et Graphiques'!Q$6,'Liste solde migratoire Fem'!$C$1:$AH$1,'Liste solde migratoire Fem'!$C14:$AH14)</f>
        <v>0</v>
      </c>
      <c r="Q38">
        <f>LOOKUP('Hypothèses et Graphiques'!R$6,'Liste solde migratoire Fem'!$C$1:$AH$1,'Liste solde migratoire Fem'!$C14:$AH14)</f>
        <v>0</v>
      </c>
      <c r="R38">
        <f>LOOKUP('Hypothèses et Graphiques'!S$6,'Liste solde migratoire Fem'!$C$1:$AH$1,'Liste solde migratoire Fem'!$C14:$AH14)</f>
        <v>0</v>
      </c>
      <c r="S38">
        <f>LOOKUP('Hypothèses et Graphiques'!T$6,'Liste solde migratoire Fem'!$C$1:$AH$1,'Liste solde migratoire Fem'!$C14:$AH14)</f>
        <v>0</v>
      </c>
    </row>
    <row r="39" spans="1:19" x14ac:dyDescent="0.25">
      <c r="A39" s="5" t="s">
        <v>12</v>
      </c>
      <c r="B39" s="5" t="s">
        <v>13</v>
      </c>
      <c r="C39">
        <f>LOOKUP('Hypothèses et Graphiques'!D$6,'Liste solde migratoire Fem'!$C$1:$AH$1,'Liste solde migratoire Fem'!$C15:$AH15)</f>
        <v>0</v>
      </c>
      <c r="D39">
        <f>LOOKUP('Hypothèses et Graphiques'!E$6,'Liste solde migratoire Fem'!$C$1:$AH$1,'Liste solde migratoire Fem'!$C15:$AH15)</f>
        <v>0</v>
      </c>
      <c r="E39">
        <f>LOOKUP('Hypothèses et Graphiques'!F$6,'Liste solde migratoire Fem'!$C$1:$AH$1,'Liste solde migratoire Fem'!$C15:$AH15)</f>
        <v>0</v>
      </c>
      <c r="F39">
        <f>LOOKUP('Hypothèses et Graphiques'!G$6,'Liste solde migratoire Fem'!$C$1:$AH$1,'Liste solde migratoire Fem'!$C15:$AH15)</f>
        <v>0</v>
      </c>
      <c r="G39">
        <f>LOOKUP('Hypothèses et Graphiques'!H$6,'Liste solde migratoire Fem'!$C$1:$AH$1,'Liste solde migratoire Fem'!$C15:$AH15)</f>
        <v>0</v>
      </c>
      <c r="H39">
        <f>LOOKUP('Hypothèses et Graphiques'!I$6,'Liste solde migratoire Fem'!$C$1:$AH$1,'Liste solde migratoire Fem'!$C15:$AH15)</f>
        <v>0</v>
      </c>
      <c r="I39">
        <f>LOOKUP('Hypothèses et Graphiques'!J$6,'Liste solde migratoire Fem'!$C$1:$AH$1,'Liste solde migratoire Fem'!$C15:$AH15)</f>
        <v>0</v>
      </c>
      <c r="J39">
        <f>LOOKUP('Hypothèses et Graphiques'!K$6,'Liste solde migratoire Fem'!$C$1:$AH$1,'Liste solde migratoire Fem'!$C15:$AH15)</f>
        <v>0</v>
      </c>
      <c r="K39">
        <f>LOOKUP('Hypothèses et Graphiques'!L$6,'Liste solde migratoire Fem'!$C$1:$AH$1,'Liste solde migratoire Fem'!$C15:$AH15)</f>
        <v>0</v>
      </c>
      <c r="L39">
        <f>LOOKUP('Hypothèses et Graphiques'!M$6,'Liste solde migratoire Fem'!$C$1:$AH$1,'Liste solde migratoire Fem'!$C15:$AH15)</f>
        <v>0</v>
      </c>
      <c r="M39">
        <f>LOOKUP('Hypothèses et Graphiques'!N$6,'Liste solde migratoire Fem'!$C$1:$AH$1,'Liste solde migratoire Fem'!$C15:$AH15)</f>
        <v>0</v>
      </c>
      <c r="N39">
        <f>LOOKUP('Hypothèses et Graphiques'!O$6,'Liste solde migratoire Fem'!$C$1:$AH$1,'Liste solde migratoire Fem'!$C15:$AH15)</f>
        <v>0</v>
      </c>
      <c r="O39">
        <f>LOOKUP('Hypothèses et Graphiques'!P$6,'Liste solde migratoire Fem'!$C$1:$AH$1,'Liste solde migratoire Fem'!$C15:$AH15)</f>
        <v>0</v>
      </c>
      <c r="P39">
        <f>LOOKUP('Hypothèses et Graphiques'!Q$6,'Liste solde migratoire Fem'!$C$1:$AH$1,'Liste solde migratoire Fem'!$C15:$AH15)</f>
        <v>0</v>
      </c>
      <c r="Q39">
        <f>LOOKUP('Hypothèses et Graphiques'!R$6,'Liste solde migratoire Fem'!$C$1:$AH$1,'Liste solde migratoire Fem'!$C15:$AH15)</f>
        <v>0</v>
      </c>
      <c r="R39">
        <f>LOOKUP('Hypothèses et Graphiques'!S$6,'Liste solde migratoire Fem'!$C$1:$AH$1,'Liste solde migratoire Fem'!$C15:$AH15)</f>
        <v>0</v>
      </c>
      <c r="S39">
        <f>LOOKUP('Hypothèses et Graphiques'!T$6,'Liste solde migratoire Fem'!$C$1:$AH$1,'Liste solde migratoire Fem'!$C15:$AH15)</f>
        <v>0</v>
      </c>
    </row>
    <row r="40" spans="1:19" x14ac:dyDescent="0.25">
      <c r="A40" s="5" t="s">
        <v>13</v>
      </c>
      <c r="B40" s="5" t="s">
        <v>14</v>
      </c>
      <c r="C40">
        <f>LOOKUP('Hypothèses et Graphiques'!D$6,'Liste solde migratoire Fem'!$C$1:$AH$1,'Liste solde migratoire Fem'!$C16:$AH16)</f>
        <v>0</v>
      </c>
      <c r="D40">
        <f>LOOKUP('Hypothèses et Graphiques'!E$6,'Liste solde migratoire Fem'!$C$1:$AH$1,'Liste solde migratoire Fem'!$C16:$AH16)</f>
        <v>0</v>
      </c>
      <c r="E40">
        <f>LOOKUP('Hypothèses et Graphiques'!F$6,'Liste solde migratoire Fem'!$C$1:$AH$1,'Liste solde migratoire Fem'!$C16:$AH16)</f>
        <v>0</v>
      </c>
      <c r="F40">
        <f>LOOKUP('Hypothèses et Graphiques'!G$6,'Liste solde migratoire Fem'!$C$1:$AH$1,'Liste solde migratoire Fem'!$C16:$AH16)</f>
        <v>0</v>
      </c>
      <c r="G40">
        <f>LOOKUP('Hypothèses et Graphiques'!H$6,'Liste solde migratoire Fem'!$C$1:$AH$1,'Liste solde migratoire Fem'!$C16:$AH16)</f>
        <v>0</v>
      </c>
      <c r="H40">
        <f>LOOKUP('Hypothèses et Graphiques'!I$6,'Liste solde migratoire Fem'!$C$1:$AH$1,'Liste solde migratoire Fem'!$C16:$AH16)</f>
        <v>0</v>
      </c>
      <c r="I40">
        <f>LOOKUP('Hypothèses et Graphiques'!J$6,'Liste solde migratoire Fem'!$C$1:$AH$1,'Liste solde migratoire Fem'!$C16:$AH16)</f>
        <v>0</v>
      </c>
      <c r="J40">
        <f>LOOKUP('Hypothèses et Graphiques'!K$6,'Liste solde migratoire Fem'!$C$1:$AH$1,'Liste solde migratoire Fem'!$C16:$AH16)</f>
        <v>0</v>
      </c>
      <c r="K40">
        <f>LOOKUP('Hypothèses et Graphiques'!L$6,'Liste solde migratoire Fem'!$C$1:$AH$1,'Liste solde migratoire Fem'!$C16:$AH16)</f>
        <v>0</v>
      </c>
      <c r="L40">
        <f>LOOKUP('Hypothèses et Graphiques'!M$6,'Liste solde migratoire Fem'!$C$1:$AH$1,'Liste solde migratoire Fem'!$C16:$AH16)</f>
        <v>0</v>
      </c>
      <c r="M40">
        <f>LOOKUP('Hypothèses et Graphiques'!N$6,'Liste solde migratoire Fem'!$C$1:$AH$1,'Liste solde migratoire Fem'!$C16:$AH16)</f>
        <v>0</v>
      </c>
      <c r="N40">
        <f>LOOKUP('Hypothèses et Graphiques'!O$6,'Liste solde migratoire Fem'!$C$1:$AH$1,'Liste solde migratoire Fem'!$C16:$AH16)</f>
        <v>0</v>
      </c>
      <c r="O40">
        <f>LOOKUP('Hypothèses et Graphiques'!P$6,'Liste solde migratoire Fem'!$C$1:$AH$1,'Liste solde migratoire Fem'!$C16:$AH16)</f>
        <v>0</v>
      </c>
      <c r="P40">
        <f>LOOKUP('Hypothèses et Graphiques'!Q$6,'Liste solde migratoire Fem'!$C$1:$AH$1,'Liste solde migratoire Fem'!$C16:$AH16)</f>
        <v>0</v>
      </c>
      <c r="Q40">
        <f>LOOKUP('Hypothèses et Graphiques'!R$6,'Liste solde migratoire Fem'!$C$1:$AH$1,'Liste solde migratoire Fem'!$C16:$AH16)</f>
        <v>0</v>
      </c>
      <c r="R40">
        <f>LOOKUP('Hypothèses et Graphiques'!S$6,'Liste solde migratoire Fem'!$C$1:$AH$1,'Liste solde migratoire Fem'!$C16:$AH16)</f>
        <v>0</v>
      </c>
      <c r="S40">
        <f>LOOKUP('Hypothèses et Graphiques'!T$6,'Liste solde migratoire Fem'!$C$1:$AH$1,'Liste solde migratoire Fem'!$C16:$AH16)</f>
        <v>0</v>
      </c>
    </row>
    <row r="41" spans="1:19" x14ac:dyDescent="0.25">
      <c r="A41" s="5" t="s">
        <v>14</v>
      </c>
      <c r="B41" s="5" t="s">
        <v>15</v>
      </c>
      <c r="C41">
        <f>LOOKUP('Hypothèses et Graphiques'!D$6,'Liste solde migratoire Fem'!$C$1:$AH$1,'Liste solde migratoire Fem'!$C17:$AH17)</f>
        <v>0</v>
      </c>
      <c r="D41">
        <f>LOOKUP('Hypothèses et Graphiques'!E$6,'Liste solde migratoire Fem'!$C$1:$AH$1,'Liste solde migratoire Fem'!$C17:$AH17)</f>
        <v>0</v>
      </c>
      <c r="E41">
        <f>LOOKUP('Hypothèses et Graphiques'!F$6,'Liste solde migratoire Fem'!$C$1:$AH$1,'Liste solde migratoire Fem'!$C17:$AH17)</f>
        <v>0</v>
      </c>
      <c r="F41">
        <f>LOOKUP('Hypothèses et Graphiques'!G$6,'Liste solde migratoire Fem'!$C$1:$AH$1,'Liste solde migratoire Fem'!$C17:$AH17)</f>
        <v>0</v>
      </c>
      <c r="G41">
        <f>LOOKUP('Hypothèses et Graphiques'!H$6,'Liste solde migratoire Fem'!$C$1:$AH$1,'Liste solde migratoire Fem'!$C17:$AH17)</f>
        <v>0</v>
      </c>
      <c r="H41">
        <f>LOOKUP('Hypothèses et Graphiques'!I$6,'Liste solde migratoire Fem'!$C$1:$AH$1,'Liste solde migratoire Fem'!$C17:$AH17)</f>
        <v>0</v>
      </c>
      <c r="I41">
        <f>LOOKUP('Hypothèses et Graphiques'!J$6,'Liste solde migratoire Fem'!$C$1:$AH$1,'Liste solde migratoire Fem'!$C17:$AH17)</f>
        <v>0</v>
      </c>
      <c r="J41">
        <f>LOOKUP('Hypothèses et Graphiques'!K$6,'Liste solde migratoire Fem'!$C$1:$AH$1,'Liste solde migratoire Fem'!$C17:$AH17)</f>
        <v>0</v>
      </c>
      <c r="K41">
        <f>LOOKUP('Hypothèses et Graphiques'!L$6,'Liste solde migratoire Fem'!$C$1:$AH$1,'Liste solde migratoire Fem'!$C17:$AH17)</f>
        <v>0</v>
      </c>
      <c r="L41">
        <f>LOOKUP('Hypothèses et Graphiques'!M$6,'Liste solde migratoire Fem'!$C$1:$AH$1,'Liste solde migratoire Fem'!$C17:$AH17)</f>
        <v>0</v>
      </c>
      <c r="M41">
        <f>LOOKUP('Hypothèses et Graphiques'!N$6,'Liste solde migratoire Fem'!$C$1:$AH$1,'Liste solde migratoire Fem'!$C17:$AH17)</f>
        <v>0</v>
      </c>
      <c r="N41">
        <f>LOOKUP('Hypothèses et Graphiques'!O$6,'Liste solde migratoire Fem'!$C$1:$AH$1,'Liste solde migratoire Fem'!$C17:$AH17)</f>
        <v>0</v>
      </c>
      <c r="O41">
        <f>LOOKUP('Hypothèses et Graphiques'!P$6,'Liste solde migratoire Fem'!$C$1:$AH$1,'Liste solde migratoire Fem'!$C17:$AH17)</f>
        <v>0</v>
      </c>
      <c r="P41">
        <f>LOOKUP('Hypothèses et Graphiques'!Q$6,'Liste solde migratoire Fem'!$C$1:$AH$1,'Liste solde migratoire Fem'!$C17:$AH17)</f>
        <v>0</v>
      </c>
      <c r="Q41">
        <f>LOOKUP('Hypothèses et Graphiques'!R$6,'Liste solde migratoire Fem'!$C$1:$AH$1,'Liste solde migratoire Fem'!$C17:$AH17)</f>
        <v>0</v>
      </c>
      <c r="R41">
        <f>LOOKUP('Hypothèses et Graphiques'!S$6,'Liste solde migratoire Fem'!$C$1:$AH$1,'Liste solde migratoire Fem'!$C17:$AH17)</f>
        <v>0</v>
      </c>
      <c r="S41">
        <f>LOOKUP('Hypothèses et Graphiques'!T$6,'Liste solde migratoire Fem'!$C$1:$AH$1,'Liste solde migratoire Fem'!$C17:$AH17)</f>
        <v>0</v>
      </c>
    </row>
    <row r="42" spans="1:19" x14ac:dyDescent="0.25">
      <c r="A42" s="5" t="s">
        <v>15</v>
      </c>
      <c r="B42" s="5" t="s">
        <v>16</v>
      </c>
      <c r="C42">
        <f>LOOKUP('Hypothèses et Graphiques'!D$6,'Liste solde migratoire Fem'!$C$1:$AH$1,'Liste solde migratoire Fem'!$C18:$AH18)</f>
        <v>0</v>
      </c>
      <c r="D42">
        <f>LOOKUP('Hypothèses et Graphiques'!E$6,'Liste solde migratoire Fem'!$C$1:$AH$1,'Liste solde migratoire Fem'!$C18:$AH18)</f>
        <v>0</v>
      </c>
      <c r="E42">
        <f>LOOKUP('Hypothèses et Graphiques'!F$6,'Liste solde migratoire Fem'!$C$1:$AH$1,'Liste solde migratoire Fem'!$C18:$AH18)</f>
        <v>0</v>
      </c>
      <c r="F42">
        <f>LOOKUP('Hypothèses et Graphiques'!G$6,'Liste solde migratoire Fem'!$C$1:$AH$1,'Liste solde migratoire Fem'!$C18:$AH18)</f>
        <v>0</v>
      </c>
      <c r="G42">
        <f>LOOKUP('Hypothèses et Graphiques'!H$6,'Liste solde migratoire Fem'!$C$1:$AH$1,'Liste solde migratoire Fem'!$C18:$AH18)</f>
        <v>0</v>
      </c>
      <c r="H42">
        <f>LOOKUP('Hypothèses et Graphiques'!I$6,'Liste solde migratoire Fem'!$C$1:$AH$1,'Liste solde migratoire Fem'!$C18:$AH18)</f>
        <v>0</v>
      </c>
      <c r="I42">
        <f>LOOKUP('Hypothèses et Graphiques'!J$6,'Liste solde migratoire Fem'!$C$1:$AH$1,'Liste solde migratoire Fem'!$C18:$AH18)</f>
        <v>0</v>
      </c>
      <c r="J42">
        <f>LOOKUP('Hypothèses et Graphiques'!K$6,'Liste solde migratoire Fem'!$C$1:$AH$1,'Liste solde migratoire Fem'!$C18:$AH18)</f>
        <v>0</v>
      </c>
      <c r="K42">
        <f>LOOKUP('Hypothèses et Graphiques'!L$6,'Liste solde migratoire Fem'!$C$1:$AH$1,'Liste solde migratoire Fem'!$C18:$AH18)</f>
        <v>0</v>
      </c>
      <c r="L42">
        <f>LOOKUP('Hypothèses et Graphiques'!M$6,'Liste solde migratoire Fem'!$C$1:$AH$1,'Liste solde migratoire Fem'!$C18:$AH18)</f>
        <v>0</v>
      </c>
      <c r="M42">
        <f>LOOKUP('Hypothèses et Graphiques'!N$6,'Liste solde migratoire Fem'!$C$1:$AH$1,'Liste solde migratoire Fem'!$C18:$AH18)</f>
        <v>0</v>
      </c>
      <c r="N42">
        <f>LOOKUP('Hypothèses et Graphiques'!O$6,'Liste solde migratoire Fem'!$C$1:$AH$1,'Liste solde migratoire Fem'!$C18:$AH18)</f>
        <v>0</v>
      </c>
      <c r="O42">
        <f>LOOKUP('Hypothèses et Graphiques'!P$6,'Liste solde migratoire Fem'!$C$1:$AH$1,'Liste solde migratoire Fem'!$C18:$AH18)</f>
        <v>0</v>
      </c>
      <c r="P42">
        <f>LOOKUP('Hypothèses et Graphiques'!Q$6,'Liste solde migratoire Fem'!$C$1:$AH$1,'Liste solde migratoire Fem'!$C18:$AH18)</f>
        <v>0</v>
      </c>
      <c r="Q42">
        <f>LOOKUP('Hypothèses et Graphiques'!R$6,'Liste solde migratoire Fem'!$C$1:$AH$1,'Liste solde migratoire Fem'!$C18:$AH18)</f>
        <v>0</v>
      </c>
      <c r="R42">
        <f>LOOKUP('Hypothèses et Graphiques'!S$6,'Liste solde migratoire Fem'!$C$1:$AH$1,'Liste solde migratoire Fem'!$C18:$AH18)</f>
        <v>0</v>
      </c>
      <c r="S42">
        <f>LOOKUP('Hypothèses et Graphiques'!T$6,'Liste solde migratoire Fem'!$C$1:$AH$1,'Liste solde migratoire Fem'!$C18:$AH18)</f>
        <v>0</v>
      </c>
    </row>
    <row r="43" spans="1:19" x14ac:dyDescent="0.25">
      <c r="A43" s="5" t="s">
        <v>16</v>
      </c>
      <c r="B43" s="5" t="s">
        <v>17</v>
      </c>
      <c r="C43">
        <f>LOOKUP('Hypothèses et Graphiques'!D$6,'Liste solde migratoire Fem'!$C$1:$AH$1,'Liste solde migratoire Fem'!$C19:$AH19)</f>
        <v>0</v>
      </c>
      <c r="D43">
        <f>LOOKUP('Hypothèses et Graphiques'!E$6,'Liste solde migratoire Fem'!$C$1:$AH$1,'Liste solde migratoire Fem'!$C19:$AH19)</f>
        <v>0</v>
      </c>
      <c r="E43">
        <f>LOOKUP('Hypothèses et Graphiques'!F$6,'Liste solde migratoire Fem'!$C$1:$AH$1,'Liste solde migratoire Fem'!$C19:$AH19)</f>
        <v>0</v>
      </c>
      <c r="F43">
        <f>LOOKUP('Hypothèses et Graphiques'!G$6,'Liste solde migratoire Fem'!$C$1:$AH$1,'Liste solde migratoire Fem'!$C19:$AH19)</f>
        <v>0</v>
      </c>
      <c r="G43">
        <f>LOOKUP('Hypothèses et Graphiques'!H$6,'Liste solde migratoire Fem'!$C$1:$AH$1,'Liste solde migratoire Fem'!$C19:$AH19)</f>
        <v>0</v>
      </c>
      <c r="H43">
        <f>LOOKUP('Hypothèses et Graphiques'!I$6,'Liste solde migratoire Fem'!$C$1:$AH$1,'Liste solde migratoire Fem'!$C19:$AH19)</f>
        <v>0</v>
      </c>
      <c r="I43">
        <f>LOOKUP('Hypothèses et Graphiques'!J$6,'Liste solde migratoire Fem'!$C$1:$AH$1,'Liste solde migratoire Fem'!$C19:$AH19)</f>
        <v>0</v>
      </c>
      <c r="J43">
        <f>LOOKUP('Hypothèses et Graphiques'!K$6,'Liste solde migratoire Fem'!$C$1:$AH$1,'Liste solde migratoire Fem'!$C19:$AH19)</f>
        <v>0</v>
      </c>
      <c r="K43">
        <f>LOOKUP('Hypothèses et Graphiques'!L$6,'Liste solde migratoire Fem'!$C$1:$AH$1,'Liste solde migratoire Fem'!$C19:$AH19)</f>
        <v>0</v>
      </c>
      <c r="L43">
        <f>LOOKUP('Hypothèses et Graphiques'!M$6,'Liste solde migratoire Fem'!$C$1:$AH$1,'Liste solde migratoire Fem'!$C19:$AH19)</f>
        <v>0</v>
      </c>
      <c r="M43">
        <f>LOOKUP('Hypothèses et Graphiques'!N$6,'Liste solde migratoire Fem'!$C$1:$AH$1,'Liste solde migratoire Fem'!$C19:$AH19)</f>
        <v>0</v>
      </c>
      <c r="N43">
        <f>LOOKUP('Hypothèses et Graphiques'!O$6,'Liste solde migratoire Fem'!$C$1:$AH$1,'Liste solde migratoire Fem'!$C19:$AH19)</f>
        <v>0</v>
      </c>
      <c r="O43">
        <f>LOOKUP('Hypothèses et Graphiques'!P$6,'Liste solde migratoire Fem'!$C$1:$AH$1,'Liste solde migratoire Fem'!$C19:$AH19)</f>
        <v>0</v>
      </c>
      <c r="P43">
        <f>LOOKUP('Hypothèses et Graphiques'!Q$6,'Liste solde migratoire Fem'!$C$1:$AH$1,'Liste solde migratoire Fem'!$C19:$AH19)</f>
        <v>0</v>
      </c>
      <c r="Q43">
        <f>LOOKUP('Hypothèses et Graphiques'!R$6,'Liste solde migratoire Fem'!$C$1:$AH$1,'Liste solde migratoire Fem'!$C19:$AH19)</f>
        <v>0</v>
      </c>
      <c r="R43">
        <f>LOOKUP('Hypothèses et Graphiques'!S$6,'Liste solde migratoire Fem'!$C$1:$AH$1,'Liste solde migratoire Fem'!$C19:$AH19)</f>
        <v>0</v>
      </c>
      <c r="S43">
        <f>LOOKUP('Hypothèses et Graphiques'!T$6,'Liste solde migratoire Fem'!$C$1:$AH$1,'Liste solde migratoire Fem'!$C19:$AH19)</f>
        <v>0</v>
      </c>
    </row>
    <row r="44" spans="1:19" x14ac:dyDescent="0.25">
      <c r="A44" s="5" t="s">
        <v>17</v>
      </c>
      <c r="B44" s="5" t="s">
        <v>18</v>
      </c>
      <c r="C44">
        <f>LOOKUP('Hypothèses et Graphiques'!D$6,'Liste solde migratoire Fem'!$C$1:$AH$1,'Liste solde migratoire Fem'!$C20:$AH20)</f>
        <v>0</v>
      </c>
      <c r="D44">
        <f>LOOKUP('Hypothèses et Graphiques'!E$6,'Liste solde migratoire Fem'!$C$1:$AH$1,'Liste solde migratoire Fem'!$C20:$AH20)</f>
        <v>0</v>
      </c>
      <c r="E44">
        <f>LOOKUP('Hypothèses et Graphiques'!F$6,'Liste solde migratoire Fem'!$C$1:$AH$1,'Liste solde migratoire Fem'!$C20:$AH20)</f>
        <v>0</v>
      </c>
      <c r="F44">
        <f>LOOKUP('Hypothèses et Graphiques'!G$6,'Liste solde migratoire Fem'!$C$1:$AH$1,'Liste solde migratoire Fem'!$C20:$AH20)</f>
        <v>0</v>
      </c>
      <c r="G44">
        <f>LOOKUP('Hypothèses et Graphiques'!H$6,'Liste solde migratoire Fem'!$C$1:$AH$1,'Liste solde migratoire Fem'!$C20:$AH20)</f>
        <v>0</v>
      </c>
      <c r="H44">
        <f>LOOKUP('Hypothèses et Graphiques'!I$6,'Liste solde migratoire Fem'!$C$1:$AH$1,'Liste solde migratoire Fem'!$C20:$AH20)</f>
        <v>0</v>
      </c>
      <c r="I44">
        <f>LOOKUP('Hypothèses et Graphiques'!J$6,'Liste solde migratoire Fem'!$C$1:$AH$1,'Liste solde migratoire Fem'!$C20:$AH20)</f>
        <v>0</v>
      </c>
      <c r="J44">
        <f>LOOKUP('Hypothèses et Graphiques'!K$6,'Liste solde migratoire Fem'!$C$1:$AH$1,'Liste solde migratoire Fem'!$C20:$AH20)</f>
        <v>0</v>
      </c>
      <c r="K44">
        <f>LOOKUP('Hypothèses et Graphiques'!L$6,'Liste solde migratoire Fem'!$C$1:$AH$1,'Liste solde migratoire Fem'!$C20:$AH20)</f>
        <v>0</v>
      </c>
      <c r="L44">
        <f>LOOKUP('Hypothèses et Graphiques'!M$6,'Liste solde migratoire Fem'!$C$1:$AH$1,'Liste solde migratoire Fem'!$C20:$AH20)</f>
        <v>0</v>
      </c>
      <c r="M44">
        <f>LOOKUP('Hypothèses et Graphiques'!N$6,'Liste solde migratoire Fem'!$C$1:$AH$1,'Liste solde migratoire Fem'!$C20:$AH20)</f>
        <v>0</v>
      </c>
      <c r="N44">
        <f>LOOKUP('Hypothèses et Graphiques'!O$6,'Liste solde migratoire Fem'!$C$1:$AH$1,'Liste solde migratoire Fem'!$C20:$AH20)</f>
        <v>0</v>
      </c>
      <c r="O44">
        <f>LOOKUP('Hypothèses et Graphiques'!P$6,'Liste solde migratoire Fem'!$C$1:$AH$1,'Liste solde migratoire Fem'!$C20:$AH20)</f>
        <v>0</v>
      </c>
      <c r="P44">
        <f>LOOKUP('Hypothèses et Graphiques'!Q$6,'Liste solde migratoire Fem'!$C$1:$AH$1,'Liste solde migratoire Fem'!$C20:$AH20)</f>
        <v>0</v>
      </c>
      <c r="Q44">
        <f>LOOKUP('Hypothèses et Graphiques'!R$6,'Liste solde migratoire Fem'!$C$1:$AH$1,'Liste solde migratoire Fem'!$C20:$AH20)</f>
        <v>0</v>
      </c>
      <c r="R44">
        <f>LOOKUP('Hypothèses et Graphiques'!S$6,'Liste solde migratoire Fem'!$C$1:$AH$1,'Liste solde migratoire Fem'!$C20:$AH20)</f>
        <v>0</v>
      </c>
      <c r="S44">
        <f>LOOKUP('Hypothèses et Graphiques'!T$6,'Liste solde migratoire Fem'!$C$1:$AH$1,'Liste solde migratoire Fem'!$C20:$AH20)</f>
        <v>0</v>
      </c>
    </row>
    <row r="45" spans="1:19" x14ac:dyDescent="0.25">
      <c r="A45" s="5" t="s">
        <v>18</v>
      </c>
      <c r="B45" s="5" t="s">
        <v>19</v>
      </c>
      <c r="C45">
        <f>LOOKUP('Hypothèses et Graphiques'!D$6,'Liste solde migratoire Fem'!$C$1:$AH$1,'Liste solde migratoire Fem'!$C21:$AH21)</f>
        <v>0</v>
      </c>
      <c r="D45">
        <f>LOOKUP('Hypothèses et Graphiques'!E$6,'Liste solde migratoire Fem'!$C$1:$AH$1,'Liste solde migratoire Fem'!$C21:$AH21)</f>
        <v>0</v>
      </c>
      <c r="E45">
        <f>LOOKUP('Hypothèses et Graphiques'!F$6,'Liste solde migratoire Fem'!$C$1:$AH$1,'Liste solde migratoire Fem'!$C21:$AH21)</f>
        <v>0</v>
      </c>
      <c r="F45">
        <f>LOOKUP('Hypothèses et Graphiques'!G$6,'Liste solde migratoire Fem'!$C$1:$AH$1,'Liste solde migratoire Fem'!$C21:$AH21)</f>
        <v>0</v>
      </c>
      <c r="G45">
        <f>LOOKUP('Hypothèses et Graphiques'!H$6,'Liste solde migratoire Fem'!$C$1:$AH$1,'Liste solde migratoire Fem'!$C21:$AH21)</f>
        <v>0</v>
      </c>
      <c r="H45">
        <f>LOOKUP('Hypothèses et Graphiques'!I$6,'Liste solde migratoire Fem'!$C$1:$AH$1,'Liste solde migratoire Fem'!$C21:$AH21)</f>
        <v>0</v>
      </c>
      <c r="I45">
        <f>LOOKUP('Hypothèses et Graphiques'!J$6,'Liste solde migratoire Fem'!$C$1:$AH$1,'Liste solde migratoire Fem'!$C21:$AH21)</f>
        <v>0</v>
      </c>
      <c r="J45">
        <f>LOOKUP('Hypothèses et Graphiques'!K$6,'Liste solde migratoire Fem'!$C$1:$AH$1,'Liste solde migratoire Fem'!$C21:$AH21)</f>
        <v>0</v>
      </c>
      <c r="K45">
        <f>LOOKUP('Hypothèses et Graphiques'!L$6,'Liste solde migratoire Fem'!$C$1:$AH$1,'Liste solde migratoire Fem'!$C21:$AH21)</f>
        <v>0</v>
      </c>
      <c r="L45">
        <f>LOOKUP('Hypothèses et Graphiques'!M$6,'Liste solde migratoire Fem'!$C$1:$AH$1,'Liste solde migratoire Fem'!$C21:$AH21)</f>
        <v>0</v>
      </c>
      <c r="M45">
        <f>LOOKUP('Hypothèses et Graphiques'!N$6,'Liste solde migratoire Fem'!$C$1:$AH$1,'Liste solde migratoire Fem'!$C21:$AH21)</f>
        <v>0</v>
      </c>
      <c r="N45">
        <f>LOOKUP('Hypothèses et Graphiques'!O$6,'Liste solde migratoire Fem'!$C$1:$AH$1,'Liste solde migratoire Fem'!$C21:$AH21)</f>
        <v>0</v>
      </c>
      <c r="O45">
        <f>LOOKUP('Hypothèses et Graphiques'!P$6,'Liste solde migratoire Fem'!$C$1:$AH$1,'Liste solde migratoire Fem'!$C21:$AH21)</f>
        <v>0</v>
      </c>
      <c r="P45">
        <f>LOOKUP('Hypothèses et Graphiques'!Q$6,'Liste solde migratoire Fem'!$C$1:$AH$1,'Liste solde migratoire Fem'!$C21:$AH21)</f>
        <v>0</v>
      </c>
      <c r="Q45">
        <f>LOOKUP('Hypothèses et Graphiques'!R$6,'Liste solde migratoire Fem'!$C$1:$AH$1,'Liste solde migratoire Fem'!$C21:$AH21)</f>
        <v>0</v>
      </c>
      <c r="R45">
        <f>LOOKUP('Hypothèses et Graphiques'!S$6,'Liste solde migratoire Fem'!$C$1:$AH$1,'Liste solde migratoire Fem'!$C21:$AH21)</f>
        <v>0</v>
      </c>
      <c r="S45">
        <f>LOOKUP('Hypothèses et Graphiques'!T$6,'Liste solde migratoire Fem'!$C$1:$AH$1,'Liste solde migratoire Fem'!$C21:$AH21)</f>
        <v>0</v>
      </c>
    </row>
    <row r="46" spans="1:19" ht="14.4" thickBot="1" x14ac:dyDescent="0.3">
      <c r="A46" s="6" t="s">
        <v>47</v>
      </c>
      <c r="B46" s="6" t="s">
        <v>20</v>
      </c>
      <c r="C46">
        <f>LOOKUP('Hypothèses et Graphiques'!D$6,'Liste solde migratoire Fem'!$C$1:$AH$1,'Liste solde migratoire Fem'!$C22:$AH22)</f>
        <v>0</v>
      </c>
      <c r="D46">
        <f>LOOKUP('Hypothèses et Graphiques'!E$6,'Liste solde migratoire Fem'!$C$1:$AH$1,'Liste solde migratoire Fem'!$C22:$AH22)</f>
        <v>0</v>
      </c>
      <c r="E46">
        <f>LOOKUP('Hypothèses et Graphiques'!F$6,'Liste solde migratoire Fem'!$C$1:$AH$1,'Liste solde migratoire Fem'!$C22:$AH22)</f>
        <v>0</v>
      </c>
      <c r="F46">
        <f>LOOKUP('Hypothèses et Graphiques'!G$6,'Liste solde migratoire Fem'!$C$1:$AH$1,'Liste solde migratoire Fem'!$C22:$AH22)</f>
        <v>0</v>
      </c>
      <c r="G46">
        <f>LOOKUP('Hypothèses et Graphiques'!H$6,'Liste solde migratoire Fem'!$C$1:$AH$1,'Liste solde migratoire Fem'!$C22:$AH22)</f>
        <v>0</v>
      </c>
      <c r="H46">
        <f>LOOKUP('Hypothèses et Graphiques'!I$6,'Liste solde migratoire Fem'!$C$1:$AH$1,'Liste solde migratoire Fem'!$C22:$AH22)</f>
        <v>0</v>
      </c>
      <c r="I46">
        <f>LOOKUP('Hypothèses et Graphiques'!J$6,'Liste solde migratoire Fem'!$C$1:$AH$1,'Liste solde migratoire Fem'!$C22:$AH22)</f>
        <v>0</v>
      </c>
      <c r="J46">
        <f>LOOKUP('Hypothèses et Graphiques'!K$6,'Liste solde migratoire Fem'!$C$1:$AH$1,'Liste solde migratoire Fem'!$C22:$AH22)</f>
        <v>0</v>
      </c>
      <c r="K46">
        <f>LOOKUP('Hypothèses et Graphiques'!L$6,'Liste solde migratoire Fem'!$C$1:$AH$1,'Liste solde migratoire Fem'!$C22:$AH22)</f>
        <v>0</v>
      </c>
      <c r="L46">
        <f>LOOKUP('Hypothèses et Graphiques'!M$6,'Liste solde migratoire Fem'!$C$1:$AH$1,'Liste solde migratoire Fem'!$C22:$AH22)</f>
        <v>0</v>
      </c>
      <c r="M46">
        <f>LOOKUP('Hypothèses et Graphiques'!N$6,'Liste solde migratoire Fem'!$C$1:$AH$1,'Liste solde migratoire Fem'!$C22:$AH22)</f>
        <v>0</v>
      </c>
      <c r="N46">
        <f>LOOKUP('Hypothèses et Graphiques'!O$6,'Liste solde migratoire Fem'!$C$1:$AH$1,'Liste solde migratoire Fem'!$C22:$AH22)</f>
        <v>0</v>
      </c>
      <c r="O46">
        <f>LOOKUP('Hypothèses et Graphiques'!P$6,'Liste solde migratoire Fem'!$C$1:$AH$1,'Liste solde migratoire Fem'!$C22:$AH22)</f>
        <v>0</v>
      </c>
      <c r="P46">
        <f>LOOKUP('Hypothèses et Graphiques'!Q$6,'Liste solde migratoire Fem'!$C$1:$AH$1,'Liste solde migratoire Fem'!$C22:$AH22)</f>
        <v>0</v>
      </c>
      <c r="Q46">
        <f>LOOKUP('Hypothèses et Graphiques'!R$6,'Liste solde migratoire Fem'!$C$1:$AH$1,'Liste solde migratoire Fem'!$C22:$AH22)</f>
        <v>0</v>
      </c>
      <c r="R46">
        <f>LOOKUP('Hypothèses et Graphiques'!S$6,'Liste solde migratoire Fem'!$C$1:$AH$1,'Liste solde migratoire Fem'!$C22:$AH22)</f>
        <v>0</v>
      </c>
      <c r="S46">
        <f>LOOKUP('Hypothèses et Graphiques'!T$6,'Liste solde migratoire Fem'!$C$1:$AH$1,'Liste solde migratoire Fem'!$C22:$AH22)</f>
        <v>0</v>
      </c>
    </row>
  </sheetData>
  <pageMargins left="0.7" right="0.7" top="0.75" bottom="0.75" header="0.3" footer="0.3"/>
  <ignoredErrors>
    <ignoredError sqref="B5 A6 B28 A29" twoDigitTextYear="1"/>
  </ignoredError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</sheetPr>
  <dimension ref="A1:AS9"/>
  <sheetViews>
    <sheetView workbookViewId="0"/>
  </sheetViews>
  <sheetFormatPr baseColWidth="10" defaultColWidth="11.19921875" defaultRowHeight="13.8" x14ac:dyDescent="0.25"/>
  <cols>
    <col min="1" max="1" width="12.5" style="17" customWidth="1"/>
    <col min="2" max="16384" width="11.19921875" style="17"/>
  </cols>
  <sheetData>
    <row r="1" spans="1:45" x14ac:dyDescent="0.25">
      <c r="A1" s="17" t="s">
        <v>43</v>
      </c>
      <c r="B1" s="17" t="s">
        <v>44</v>
      </c>
      <c r="C1" s="24" t="s">
        <v>45</v>
      </c>
      <c r="D1" s="17">
        <v>1</v>
      </c>
      <c r="E1" s="17">
        <v>1.05</v>
      </c>
      <c r="F1" s="17">
        <v>1.1000000000000001</v>
      </c>
      <c r="G1" s="17">
        <v>1.1499999999999999</v>
      </c>
      <c r="H1" s="17">
        <v>1.2</v>
      </c>
      <c r="I1" s="17">
        <v>1.25</v>
      </c>
      <c r="J1" s="17">
        <v>1.3</v>
      </c>
      <c r="K1" s="17">
        <v>1.35</v>
      </c>
      <c r="L1" s="17">
        <v>1.4</v>
      </c>
      <c r="M1" s="17">
        <v>1.45</v>
      </c>
      <c r="N1" s="17">
        <v>1.5</v>
      </c>
      <c r="O1" s="17">
        <v>1.55</v>
      </c>
      <c r="P1" s="17">
        <v>1.6</v>
      </c>
      <c r="Q1" s="17">
        <v>1.65</v>
      </c>
      <c r="R1" s="17">
        <v>1.7</v>
      </c>
      <c r="S1" s="17">
        <v>1.75</v>
      </c>
      <c r="T1" s="17">
        <v>1.8</v>
      </c>
      <c r="U1" s="17">
        <v>1.85</v>
      </c>
      <c r="V1" s="17">
        <v>1.9</v>
      </c>
      <c r="W1" s="17">
        <v>1.95</v>
      </c>
      <c r="X1" s="17">
        <v>2</v>
      </c>
      <c r="Y1" s="17">
        <v>2.0499999999999998</v>
      </c>
      <c r="Z1" s="17">
        <v>2.1</v>
      </c>
      <c r="AA1" s="17">
        <v>2.15</v>
      </c>
      <c r="AB1" s="17">
        <v>2.2000000000000002</v>
      </c>
      <c r="AC1" s="17">
        <v>2.25</v>
      </c>
      <c r="AD1" s="17">
        <v>2.2999999999999998</v>
      </c>
      <c r="AE1" s="17">
        <v>2.35</v>
      </c>
      <c r="AF1" s="17">
        <v>2.4</v>
      </c>
      <c r="AG1" s="17">
        <v>2.4500000000000002</v>
      </c>
      <c r="AH1" s="17">
        <v>2.5</v>
      </c>
      <c r="AI1" s="17">
        <v>2.5499999999999998</v>
      </c>
      <c r="AJ1" s="17">
        <v>2.6</v>
      </c>
      <c r="AK1" s="17">
        <v>2.65</v>
      </c>
      <c r="AL1" s="17">
        <v>2.7</v>
      </c>
      <c r="AM1" s="17">
        <v>2.75</v>
      </c>
      <c r="AN1" s="17">
        <v>2.8</v>
      </c>
      <c r="AO1" s="17">
        <v>2.85</v>
      </c>
      <c r="AP1" s="17">
        <v>2.9</v>
      </c>
      <c r="AQ1" s="17">
        <v>2.95</v>
      </c>
      <c r="AR1" s="17">
        <v>3</v>
      </c>
      <c r="AS1" s="20"/>
    </row>
    <row r="2" spans="1:45" x14ac:dyDescent="0.25">
      <c r="A2" s="19" t="s">
        <v>9</v>
      </c>
      <c r="B2" s="17" t="s">
        <v>0</v>
      </c>
      <c r="D2" s="22">
        <v>2.0729798176616766E-3</v>
      </c>
      <c r="E2" s="22">
        <v>2.1766288085447606E-3</v>
      </c>
      <c r="F2" s="22">
        <v>2.2802777994278441E-3</v>
      </c>
      <c r="G2" s="22">
        <v>2.383926790310928E-3</v>
      </c>
      <c r="H2" s="22">
        <v>2.4875757811940119E-3</v>
      </c>
      <c r="I2" s="22">
        <v>2.5912247720770954E-3</v>
      </c>
      <c r="J2" s="22">
        <v>2.6948737629601794E-3</v>
      </c>
      <c r="K2" s="22">
        <v>2.7985227538432633E-3</v>
      </c>
      <c r="L2" s="22">
        <v>2.9021717447263468E-3</v>
      </c>
      <c r="M2" s="22">
        <v>3.0058207356094308E-3</v>
      </c>
      <c r="N2" s="22">
        <v>3.1094697264925147E-3</v>
      </c>
      <c r="O2" s="22">
        <v>3.2131187173755986E-3</v>
      </c>
      <c r="P2" s="22">
        <v>3.3167677082586826E-3</v>
      </c>
      <c r="Q2" s="22">
        <v>3.4204166991417661E-3</v>
      </c>
      <c r="R2" s="22">
        <v>3.5240656900248496E-3</v>
      </c>
      <c r="S2" s="22">
        <v>3.627714680907934E-3</v>
      </c>
      <c r="T2" s="22">
        <v>3.7313636717910179E-3</v>
      </c>
      <c r="U2" s="22">
        <v>3.8350126626741014E-3</v>
      </c>
      <c r="V2" s="22">
        <v>3.9386616535571854E-3</v>
      </c>
      <c r="W2" s="22">
        <v>4.0423106444402689E-3</v>
      </c>
      <c r="X2" s="22">
        <v>4.1459596353233532E-3</v>
      </c>
      <c r="Y2" s="22">
        <v>4.2496086262064367E-3</v>
      </c>
      <c r="Z2" s="22">
        <v>4.3532576170895211E-3</v>
      </c>
      <c r="AA2" s="22">
        <v>4.4569066079726037E-3</v>
      </c>
      <c r="AB2" s="22">
        <v>4.5605555988556881E-3</v>
      </c>
      <c r="AC2" s="22">
        <v>4.6642045897387716E-3</v>
      </c>
      <c r="AD2" s="22">
        <v>4.767853580621856E-3</v>
      </c>
      <c r="AE2" s="22">
        <v>4.8715025715049404E-3</v>
      </c>
      <c r="AF2" s="22">
        <v>4.9751515623880239E-3</v>
      </c>
      <c r="AG2" s="22">
        <v>5.0788005532711082E-3</v>
      </c>
      <c r="AH2" s="22">
        <v>5.1824495441541909E-3</v>
      </c>
      <c r="AI2" s="22">
        <v>5.2860985350372744E-3</v>
      </c>
      <c r="AJ2" s="22">
        <v>5.3897475259203588E-3</v>
      </c>
      <c r="AK2" s="22">
        <v>5.4933965168034423E-3</v>
      </c>
      <c r="AL2" s="22">
        <v>5.5970455076865266E-3</v>
      </c>
      <c r="AM2" s="22">
        <v>5.7006944985696101E-3</v>
      </c>
      <c r="AN2" s="22">
        <v>5.8043434894526937E-3</v>
      </c>
      <c r="AO2" s="22">
        <v>5.907992480335778E-3</v>
      </c>
      <c r="AP2" s="22">
        <v>6.0116414712188615E-3</v>
      </c>
      <c r="AQ2" s="22">
        <v>6.1152904621019459E-3</v>
      </c>
      <c r="AR2" s="22">
        <v>6.2189394529850294E-3</v>
      </c>
    </row>
    <row r="3" spans="1:45" x14ac:dyDescent="0.25">
      <c r="A3" s="17" t="s">
        <v>0</v>
      </c>
      <c r="B3" s="17" t="s">
        <v>1</v>
      </c>
      <c r="D3" s="22">
        <v>4.4515449092788192E-2</v>
      </c>
      <c r="E3" s="22">
        <v>4.674122154742761E-2</v>
      </c>
      <c r="F3" s="22">
        <v>4.8966994002067013E-2</v>
      </c>
      <c r="G3" s="22">
        <v>5.1192766456706416E-2</v>
      </c>
      <c r="H3" s="22">
        <v>5.3418538911345834E-2</v>
      </c>
      <c r="I3" s="22">
        <v>5.5644311365985237E-2</v>
      </c>
      <c r="J3" s="22">
        <v>5.7870083820624654E-2</v>
      </c>
      <c r="K3" s="22">
        <v>6.0095856275264065E-2</v>
      </c>
      <c r="L3" s="22">
        <v>6.2321628729903461E-2</v>
      </c>
      <c r="M3" s="22">
        <v>6.4547401184542871E-2</v>
      </c>
      <c r="N3" s="22">
        <v>6.6773173639182296E-2</v>
      </c>
      <c r="O3" s="22">
        <v>6.8998946093821706E-2</v>
      </c>
      <c r="P3" s="22">
        <v>7.1224718548461116E-2</v>
      </c>
      <c r="Q3" s="22">
        <v>7.3450491003100513E-2</v>
      </c>
      <c r="R3" s="22">
        <v>7.5676263457739923E-2</v>
      </c>
      <c r="S3" s="22">
        <v>7.7902035912379347E-2</v>
      </c>
      <c r="T3" s="22">
        <v>8.0127808367018744E-2</v>
      </c>
      <c r="U3" s="22">
        <v>8.2353580821658154E-2</v>
      </c>
      <c r="V3" s="22">
        <v>8.4579353276297564E-2</v>
      </c>
      <c r="W3" s="22">
        <v>8.6805125730936961E-2</v>
      </c>
      <c r="X3" s="22">
        <v>8.9030898185576385E-2</v>
      </c>
      <c r="Y3" s="22">
        <v>9.1256670640215795E-2</v>
      </c>
      <c r="Z3" s="22">
        <v>9.3482443094855219E-2</v>
      </c>
      <c r="AA3" s="22">
        <v>9.5708215549494602E-2</v>
      </c>
      <c r="AB3" s="22">
        <v>9.7933988004134026E-2</v>
      </c>
      <c r="AC3" s="22">
        <v>0.10015976045877344</v>
      </c>
      <c r="AD3" s="22">
        <v>0.10238553291341283</v>
      </c>
      <c r="AE3" s="22">
        <v>0.10461130536805226</v>
      </c>
      <c r="AF3" s="22">
        <v>0.10683707782269167</v>
      </c>
      <c r="AG3" s="22">
        <v>0.10906285027733109</v>
      </c>
      <c r="AH3" s="22">
        <v>0.11128862273197047</v>
      </c>
      <c r="AI3" s="22">
        <v>0.11351439518660988</v>
      </c>
      <c r="AJ3" s="22">
        <v>0.11574016764124931</v>
      </c>
      <c r="AK3" s="22">
        <v>0.1179659400958887</v>
      </c>
      <c r="AL3" s="22">
        <v>0.12019171255052813</v>
      </c>
      <c r="AM3" s="22">
        <v>0.12241748500516754</v>
      </c>
      <c r="AN3" s="22">
        <v>0.12464325745980692</v>
      </c>
      <c r="AO3" s="22">
        <v>0.12686902991444635</v>
      </c>
      <c r="AP3" s="22">
        <v>0.12909480236908574</v>
      </c>
      <c r="AQ3" s="22">
        <v>0.13132057482372517</v>
      </c>
      <c r="AR3" s="22">
        <v>0.13354634727836459</v>
      </c>
    </row>
    <row r="4" spans="1:45" x14ac:dyDescent="0.25">
      <c r="A4" s="17" t="s">
        <v>1</v>
      </c>
      <c r="B4" s="17" t="s">
        <v>2</v>
      </c>
      <c r="D4" s="22">
        <v>0.17700342717257278</v>
      </c>
      <c r="E4" s="22">
        <v>0.18585359853120142</v>
      </c>
      <c r="F4" s="22">
        <v>0.19470376988983007</v>
      </c>
      <c r="G4" s="22">
        <v>0.20355394124845869</v>
      </c>
      <c r="H4" s="22">
        <v>0.21240411260708733</v>
      </c>
      <c r="I4" s="22">
        <v>0.22125428396571598</v>
      </c>
      <c r="J4" s="22">
        <v>0.23010445532434462</v>
      </c>
      <c r="K4" s="22">
        <v>0.23895462668297326</v>
      </c>
      <c r="L4" s="22">
        <v>0.24780479804160185</v>
      </c>
      <c r="M4" s="22">
        <v>0.25665496940023053</v>
      </c>
      <c r="N4" s="22">
        <v>0.26550514075885917</v>
      </c>
      <c r="O4" s="22">
        <v>0.27435531211748782</v>
      </c>
      <c r="P4" s="22">
        <v>0.28320548347611646</v>
      </c>
      <c r="Q4" s="22">
        <v>0.2920556548347451</v>
      </c>
      <c r="R4" s="22">
        <v>0.30090582619337369</v>
      </c>
      <c r="S4" s="22">
        <v>0.30975599755200239</v>
      </c>
      <c r="T4" s="22">
        <v>0.31860616891063104</v>
      </c>
      <c r="U4" s="22">
        <v>0.32745634026925963</v>
      </c>
      <c r="V4" s="22">
        <v>0.33630651162788827</v>
      </c>
      <c r="W4" s="22">
        <v>0.34515668298651686</v>
      </c>
      <c r="X4" s="22">
        <v>0.35400685434514556</v>
      </c>
      <c r="Y4" s="22">
        <v>0.36285702570377421</v>
      </c>
      <c r="Z4" s="22">
        <v>0.37170719706240285</v>
      </c>
      <c r="AA4" s="22">
        <v>0.38055736842103144</v>
      </c>
      <c r="AB4" s="22">
        <v>0.38940753977966014</v>
      </c>
      <c r="AC4" s="22">
        <v>0.39825771113828873</v>
      </c>
      <c r="AD4" s="22">
        <v>0.40710788249691737</v>
      </c>
      <c r="AE4" s="22">
        <v>0.41595805385554607</v>
      </c>
      <c r="AF4" s="22">
        <v>0.42480822521417466</v>
      </c>
      <c r="AG4" s="22">
        <v>0.43365839657280336</v>
      </c>
      <c r="AH4" s="22">
        <v>0.44250856793143195</v>
      </c>
      <c r="AI4" s="22">
        <v>0.45135873929006054</v>
      </c>
      <c r="AJ4" s="22">
        <v>0.46020891064868924</v>
      </c>
      <c r="AK4" s="22">
        <v>0.46905908200731788</v>
      </c>
      <c r="AL4" s="22">
        <v>0.47790925336594653</v>
      </c>
      <c r="AM4" s="22">
        <v>0.48675942472457517</v>
      </c>
      <c r="AN4" s="22">
        <v>0.49560959608320371</v>
      </c>
      <c r="AO4" s="22">
        <v>0.50445976744183241</v>
      </c>
      <c r="AP4" s="22">
        <v>0.51330993880046105</v>
      </c>
      <c r="AQ4" s="22">
        <v>0.5221601101590897</v>
      </c>
      <c r="AR4" s="22">
        <v>0.53101028151771834</v>
      </c>
    </row>
    <row r="5" spans="1:45" x14ac:dyDescent="0.25">
      <c r="A5" s="17" t="s">
        <v>2</v>
      </c>
      <c r="B5" s="17" t="s">
        <v>3</v>
      </c>
      <c r="D5" s="22">
        <v>0.33835705300719421</v>
      </c>
      <c r="E5" s="22">
        <v>0.35527490565755393</v>
      </c>
      <c r="F5" s="22">
        <v>0.3721927583079136</v>
      </c>
      <c r="G5" s="22">
        <v>0.38911061095827332</v>
      </c>
      <c r="H5" s="22">
        <v>0.40602846360863304</v>
      </c>
      <c r="I5" s="22">
        <v>0.4229463162589927</v>
      </c>
      <c r="J5" s="22">
        <v>0.43986416890935248</v>
      </c>
      <c r="K5" s="22">
        <v>0.4567820215597122</v>
      </c>
      <c r="L5" s="22">
        <v>0.47369987421007181</v>
      </c>
      <c r="M5" s="22">
        <v>0.49061772686043159</v>
      </c>
      <c r="N5" s="22">
        <v>0.50753557951079131</v>
      </c>
      <c r="O5" s="22">
        <v>0.52445343216115103</v>
      </c>
      <c r="P5" s="22">
        <v>0.54137128481151076</v>
      </c>
      <c r="Q5" s="22">
        <v>0.55828913746187037</v>
      </c>
      <c r="R5" s="22">
        <v>0.57520699011223009</v>
      </c>
      <c r="S5" s="22">
        <v>0.59212484276258992</v>
      </c>
      <c r="T5" s="22">
        <v>0.60904269541294953</v>
      </c>
      <c r="U5" s="22">
        <v>0.62596054806330925</v>
      </c>
      <c r="V5" s="22">
        <v>0.64287840071366897</v>
      </c>
      <c r="W5" s="22">
        <v>0.65979625336402858</v>
      </c>
      <c r="X5" s="22">
        <v>0.67671410601438842</v>
      </c>
      <c r="Y5" s="22">
        <v>0.69363195866474814</v>
      </c>
      <c r="Z5" s="22">
        <v>0.71054981131510786</v>
      </c>
      <c r="AA5" s="22">
        <v>0.72746766396546747</v>
      </c>
      <c r="AB5" s="22">
        <v>0.74438551661582719</v>
      </c>
      <c r="AC5" s="22">
        <v>0.76130336926618691</v>
      </c>
      <c r="AD5" s="22">
        <v>0.77822122191654663</v>
      </c>
      <c r="AE5" s="22">
        <v>0.79513907456690636</v>
      </c>
      <c r="AF5" s="22">
        <v>0.81205692721726608</v>
      </c>
      <c r="AG5" s="22">
        <v>0.82897477986762591</v>
      </c>
      <c r="AH5" s="22">
        <v>0.84589263251798541</v>
      </c>
      <c r="AI5" s="22">
        <v>0.86281048516834513</v>
      </c>
      <c r="AJ5" s="22">
        <v>0.87972833781870496</v>
      </c>
      <c r="AK5" s="22">
        <v>0.89664619046906457</v>
      </c>
      <c r="AL5" s="22">
        <v>0.91356404311942441</v>
      </c>
      <c r="AM5" s="22">
        <v>0.93048189576978413</v>
      </c>
      <c r="AN5" s="22">
        <v>0.94739974842014363</v>
      </c>
      <c r="AO5" s="22">
        <v>0.96431760107050346</v>
      </c>
      <c r="AP5" s="22">
        <v>0.98123545372086318</v>
      </c>
      <c r="AQ5" s="22">
        <v>0.9981533063712229</v>
      </c>
      <c r="AR5" s="22">
        <v>1.0150711590215826</v>
      </c>
    </row>
    <row r="6" spans="1:45" x14ac:dyDescent="0.25">
      <c r="A6" s="17" t="s">
        <v>3</v>
      </c>
      <c r="B6" s="17" t="s">
        <v>4</v>
      </c>
      <c r="D6" s="22">
        <v>0.30815366892499929</v>
      </c>
      <c r="E6" s="22">
        <v>0.32356135237124928</v>
      </c>
      <c r="F6" s="22">
        <v>0.33896903581749921</v>
      </c>
      <c r="G6" s="22">
        <v>0.35437671926374914</v>
      </c>
      <c r="H6" s="22">
        <v>0.36978440270999913</v>
      </c>
      <c r="I6" s="22">
        <v>0.38519208615624911</v>
      </c>
      <c r="J6" s="22">
        <v>0.4005997696024991</v>
      </c>
      <c r="K6" s="22">
        <v>0.41600745304874909</v>
      </c>
      <c r="L6" s="22">
        <v>0.43141513649499896</v>
      </c>
      <c r="M6" s="22">
        <v>0.44682281994124895</v>
      </c>
      <c r="N6" s="22">
        <v>0.46223050338749894</v>
      </c>
      <c r="O6" s="22">
        <v>0.47763818683374892</v>
      </c>
      <c r="P6" s="22">
        <v>0.49304587027999885</v>
      </c>
      <c r="Q6" s="22">
        <v>0.50845355372624879</v>
      </c>
      <c r="R6" s="22">
        <v>0.52386123717249877</v>
      </c>
      <c r="S6" s="22">
        <v>0.53926892061874876</v>
      </c>
      <c r="T6" s="22">
        <v>0.55467660406499875</v>
      </c>
      <c r="U6" s="22">
        <v>0.57008428751124862</v>
      </c>
      <c r="V6" s="22">
        <v>0.58549197095749861</v>
      </c>
      <c r="W6" s="22">
        <v>0.6008996544037486</v>
      </c>
      <c r="X6" s="22">
        <v>0.61630733784999858</v>
      </c>
      <c r="Y6" s="22">
        <v>0.63171502129624857</v>
      </c>
      <c r="Z6" s="22">
        <v>0.64712270474249856</v>
      </c>
      <c r="AA6" s="22">
        <v>0.66253038818874843</v>
      </c>
      <c r="AB6" s="22">
        <v>0.67793807163499842</v>
      </c>
      <c r="AC6" s="22">
        <v>0.6933457550812484</v>
      </c>
      <c r="AD6" s="22">
        <v>0.70875343852749828</v>
      </c>
      <c r="AE6" s="22">
        <v>0.72416112197374838</v>
      </c>
      <c r="AF6" s="22">
        <v>0.73956880541999825</v>
      </c>
      <c r="AG6" s="22">
        <v>0.75497648886624835</v>
      </c>
      <c r="AH6" s="22">
        <v>0.77038417231249823</v>
      </c>
      <c r="AI6" s="22">
        <v>0.7857918557587481</v>
      </c>
      <c r="AJ6" s="22">
        <v>0.8011995392049982</v>
      </c>
      <c r="AK6" s="22">
        <v>0.81660722265124808</v>
      </c>
      <c r="AL6" s="22">
        <v>0.83201490609749817</v>
      </c>
      <c r="AM6" s="22">
        <v>0.84742258954374805</v>
      </c>
      <c r="AN6" s="22">
        <v>0.86283027298999793</v>
      </c>
      <c r="AO6" s="22">
        <v>0.87823795643624791</v>
      </c>
      <c r="AP6" s="22">
        <v>0.8936456398824979</v>
      </c>
      <c r="AQ6" s="22">
        <v>0.909053323328748</v>
      </c>
      <c r="AR6" s="22">
        <v>0.92446100677499787</v>
      </c>
    </row>
    <row r="7" spans="1:45" x14ac:dyDescent="0.25">
      <c r="A7" s="17" t="s">
        <v>4</v>
      </c>
      <c r="B7" s="17" t="s">
        <v>5</v>
      </c>
      <c r="D7" s="22">
        <v>0.11532289784410038</v>
      </c>
      <c r="E7" s="22">
        <v>0.1210890427363054</v>
      </c>
      <c r="F7" s="22">
        <v>0.12685518762851042</v>
      </c>
      <c r="G7" s="22">
        <v>0.13262133252071542</v>
      </c>
      <c r="H7" s="22">
        <v>0.13838747741292046</v>
      </c>
      <c r="I7" s="22">
        <v>0.14415362230512546</v>
      </c>
      <c r="J7" s="22">
        <v>0.14991976719733049</v>
      </c>
      <c r="K7" s="22">
        <v>0.15568591208953553</v>
      </c>
      <c r="L7" s="22">
        <v>0.1614520569817405</v>
      </c>
      <c r="M7" s="22">
        <v>0.16721820187394554</v>
      </c>
      <c r="N7" s="22">
        <v>0.17298434676615057</v>
      </c>
      <c r="O7" s="22">
        <v>0.1787504916583556</v>
      </c>
      <c r="P7" s="22">
        <v>0.18451663655056061</v>
      </c>
      <c r="Q7" s="22">
        <v>0.19028278144276561</v>
      </c>
      <c r="R7" s="22">
        <v>0.19604892633497062</v>
      </c>
      <c r="S7" s="22">
        <v>0.20181507122717568</v>
      </c>
      <c r="T7" s="22">
        <v>0.20758121611938068</v>
      </c>
      <c r="U7" s="22">
        <v>0.21334736101158569</v>
      </c>
      <c r="V7" s="22">
        <v>0.2191135059037907</v>
      </c>
      <c r="W7" s="22">
        <v>0.2248796507959957</v>
      </c>
      <c r="X7" s="22">
        <v>0.23064579568820076</v>
      </c>
      <c r="Y7" s="22">
        <v>0.23641194058040577</v>
      </c>
      <c r="Z7" s="22">
        <v>0.2421780854726108</v>
      </c>
      <c r="AA7" s="22">
        <v>0.24794423036481578</v>
      </c>
      <c r="AB7" s="22">
        <v>0.25371037525702084</v>
      </c>
      <c r="AC7" s="22">
        <v>0.25947652014922584</v>
      </c>
      <c r="AD7" s="22">
        <v>0.26524266504143085</v>
      </c>
      <c r="AE7" s="22">
        <v>0.27100880993363591</v>
      </c>
      <c r="AF7" s="22">
        <v>0.27677495482584091</v>
      </c>
      <c r="AG7" s="22">
        <v>0.28254109971804597</v>
      </c>
      <c r="AH7" s="22">
        <v>0.28830724461025092</v>
      </c>
      <c r="AI7" s="22">
        <v>0.29407338950245593</v>
      </c>
      <c r="AJ7" s="22">
        <v>0.29983953439466099</v>
      </c>
      <c r="AK7" s="22">
        <v>0.30560567928686599</v>
      </c>
      <c r="AL7" s="22">
        <v>0.31137182417907106</v>
      </c>
      <c r="AM7" s="22">
        <v>0.31713796907127606</v>
      </c>
      <c r="AN7" s="22">
        <v>0.32290411396348101</v>
      </c>
      <c r="AO7" s="22">
        <v>0.32867025885568607</v>
      </c>
      <c r="AP7" s="22">
        <v>0.33443640374789108</v>
      </c>
      <c r="AQ7" s="22">
        <v>0.34020254864009614</v>
      </c>
      <c r="AR7" s="22">
        <v>0.34596869353230114</v>
      </c>
    </row>
    <row r="8" spans="1:45" x14ac:dyDescent="0.25">
      <c r="A8" s="17" t="s">
        <v>5</v>
      </c>
      <c r="B8" s="17" t="s">
        <v>6</v>
      </c>
      <c r="D8" s="22">
        <v>1.3689627219861937E-2</v>
      </c>
      <c r="E8" s="22">
        <v>1.4374108580855036E-2</v>
      </c>
      <c r="F8" s="22">
        <v>1.5058589941848131E-2</v>
      </c>
      <c r="G8" s="22">
        <v>1.5743071302841225E-2</v>
      </c>
      <c r="H8" s="22">
        <v>1.6427552663834326E-2</v>
      </c>
      <c r="I8" s="22">
        <v>1.711203402482742E-2</v>
      </c>
      <c r="J8" s="22">
        <v>1.779651538582052E-2</v>
      </c>
      <c r="K8" s="22">
        <v>1.8480996746813617E-2</v>
      </c>
      <c r="L8" s="22">
        <v>1.9165478107806711E-2</v>
      </c>
      <c r="M8" s="22">
        <v>1.9849959468799808E-2</v>
      </c>
      <c r="N8" s="22">
        <v>2.0534440829792906E-2</v>
      </c>
      <c r="O8" s="22">
        <v>2.1218922190786003E-2</v>
      </c>
      <c r="P8" s="22">
        <v>2.19034035517791E-2</v>
      </c>
      <c r="Q8" s="22">
        <v>2.2587884912772197E-2</v>
      </c>
      <c r="R8" s="22">
        <v>2.3272366273765291E-2</v>
      </c>
      <c r="S8" s="22">
        <v>2.3956847634758392E-2</v>
      </c>
      <c r="T8" s="22">
        <v>2.4641328995751489E-2</v>
      </c>
      <c r="U8" s="22">
        <v>2.5325810356744582E-2</v>
      </c>
      <c r="V8" s="22">
        <v>2.601029171773768E-2</v>
      </c>
      <c r="W8" s="22">
        <v>2.6694773078730773E-2</v>
      </c>
      <c r="X8" s="22">
        <v>2.7379254439723874E-2</v>
      </c>
      <c r="Y8" s="22">
        <v>2.8063735800716971E-2</v>
      </c>
      <c r="Z8" s="22">
        <v>2.8748217161710072E-2</v>
      </c>
      <c r="AA8" s="22">
        <v>2.9432698522703162E-2</v>
      </c>
      <c r="AB8" s="22">
        <v>3.0117179883696263E-2</v>
      </c>
      <c r="AC8" s="22">
        <v>3.0801661244689357E-2</v>
      </c>
      <c r="AD8" s="22">
        <v>3.148614260568245E-2</v>
      </c>
      <c r="AE8" s="22">
        <v>3.2170623966675554E-2</v>
      </c>
      <c r="AF8" s="22">
        <v>3.2855105327668652E-2</v>
      </c>
      <c r="AG8" s="22">
        <v>3.3539586688661749E-2</v>
      </c>
      <c r="AH8" s="22">
        <v>3.4224068049654839E-2</v>
      </c>
      <c r="AI8" s="22">
        <v>3.4908549410647936E-2</v>
      </c>
      <c r="AJ8" s="22">
        <v>3.559303077164104E-2</v>
      </c>
      <c r="AK8" s="22">
        <v>3.6277512132634131E-2</v>
      </c>
      <c r="AL8" s="22">
        <v>3.6961993493627235E-2</v>
      </c>
      <c r="AM8" s="22">
        <v>3.7646474854620332E-2</v>
      </c>
      <c r="AN8" s="22">
        <v>3.8330956215613422E-2</v>
      </c>
      <c r="AO8" s="22">
        <v>3.901543757660652E-2</v>
      </c>
      <c r="AP8" s="22">
        <v>3.9699918937599617E-2</v>
      </c>
      <c r="AQ8" s="22">
        <v>4.0384400298592714E-2</v>
      </c>
      <c r="AR8" s="22">
        <v>4.1068881659585811E-2</v>
      </c>
    </row>
    <row r="9" spans="1:45" x14ac:dyDescent="0.25">
      <c r="A9" s="17" t="s">
        <v>6</v>
      </c>
      <c r="B9" s="18" t="s">
        <v>10</v>
      </c>
      <c r="C9" s="18"/>
      <c r="D9" s="22">
        <v>8.8489692082146718E-4</v>
      </c>
      <c r="E9" s="22">
        <v>9.2914176686254067E-4</v>
      </c>
      <c r="F9" s="22">
        <v>9.7338661290361395E-4</v>
      </c>
      <c r="G9" s="22">
        <v>1.0176314589446871E-3</v>
      </c>
      <c r="H9" s="22">
        <v>1.0618763049857606E-3</v>
      </c>
      <c r="I9" s="22">
        <v>1.1061211510268339E-3</v>
      </c>
      <c r="J9" s="22">
        <v>1.1503659970679074E-3</v>
      </c>
      <c r="K9" s="22">
        <v>1.1946108431089809E-3</v>
      </c>
      <c r="L9" s="22">
        <v>1.2388556891500539E-3</v>
      </c>
      <c r="M9" s="22">
        <v>1.2831005351911274E-3</v>
      </c>
      <c r="N9" s="22">
        <v>1.3273453812322007E-3</v>
      </c>
      <c r="O9" s="22">
        <v>1.3715902272732742E-3</v>
      </c>
      <c r="P9" s="22">
        <v>1.4158350733143475E-3</v>
      </c>
      <c r="Q9" s="22">
        <v>1.4600799193554208E-3</v>
      </c>
      <c r="R9" s="22">
        <v>1.504324765396494E-3</v>
      </c>
      <c r="S9" s="22">
        <v>1.5485696114375678E-3</v>
      </c>
      <c r="T9" s="22">
        <v>1.592814457478641E-3</v>
      </c>
      <c r="U9" s="22">
        <v>1.6370593035197143E-3</v>
      </c>
      <c r="V9" s="22">
        <v>1.6813041495607876E-3</v>
      </c>
      <c r="W9" s="22">
        <v>1.7255489956018609E-3</v>
      </c>
      <c r="X9" s="22">
        <v>1.7697938416429344E-3</v>
      </c>
      <c r="Y9" s="22">
        <v>1.8140386876840076E-3</v>
      </c>
      <c r="Z9" s="22">
        <v>1.8582835337250813E-3</v>
      </c>
      <c r="AA9" s="22">
        <v>1.9025283797661542E-3</v>
      </c>
      <c r="AB9" s="22">
        <v>1.9467732258072279E-3</v>
      </c>
      <c r="AC9" s="22">
        <v>1.991018071848301E-3</v>
      </c>
      <c r="AD9" s="22">
        <v>2.0352629178893742E-3</v>
      </c>
      <c r="AE9" s="22">
        <v>2.0795077639304479E-3</v>
      </c>
      <c r="AF9" s="22">
        <v>2.1237526099715212E-3</v>
      </c>
      <c r="AG9" s="22">
        <v>2.1679974560125949E-3</v>
      </c>
      <c r="AH9" s="22">
        <v>2.2122423020536678E-3</v>
      </c>
      <c r="AI9" s="22">
        <v>2.2564871480947411E-3</v>
      </c>
      <c r="AJ9" s="22">
        <v>2.3007319941358148E-3</v>
      </c>
      <c r="AK9" s="22">
        <v>2.344976840176888E-3</v>
      </c>
      <c r="AL9" s="22">
        <v>2.3892216862179618E-3</v>
      </c>
      <c r="AM9" s="22">
        <v>2.433466532259035E-3</v>
      </c>
      <c r="AN9" s="22">
        <v>2.4777113783001079E-3</v>
      </c>
      <c r="AO9" s="22">
        <v>2.5219562243411816E-3</v>
      </c>
      <c r="AP9" s="22">
        <v>2.5662010703822549E-3</v>
      </c>
      <c r="AQ9" s="22">
        <v>2.6104459164233281E-3</v>
      </c>
      <c r="AR9" s="22">
        <v>2.6546907624644014E-3</v>
      </c>
    </row>
  </sheetData>
  <pageMargins left="0.7" right="0.7" top="0.75" bottom="0.75" header="0.3" footer="0.3"/>
  <ignoredErrors>
    <ignoredError sqref="A2" twoDigitTextYear="1"/>
  </ignoredError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</sheetPr>
  <dimension ref="A1:AH24"/>
  <sheetViews>
    <sheetView workbookViewId="0"/>
  </sheetViews>
  <sheetFormatPr baseColWidth="10" defaultColWidth="11.19921875" defaultRowHeight="13.8" x14ac:dyDescent="0.25"/>
  <cols>
    <col min="1" max="1" width="12.69921875" style="17" customWidth="1"/>
    <col min="2" max="16384" width="11.19921875" style="17"/>
  </cols>
  <sheetData>
    <row r="1" spans="1:34" x14ac:dyDescent="0.25">
      <c r="A1" s="17" t="s">
        <v>43</v>
      </c>
      <c r="B1" s="17" t="s">
        <v>44</v>
      </c>
      <c r="C1" s="20" t="s">
        <v>45</v>
      </c>
      <c r="D1" s="26">
        <v>75</v>
      </c>
      <c r="E1" s="26">
        <v>75.5</v>
      </c>
      <c r="F1" s="26">
        <v>76</v>
      </c>
      <c r="G1" s="26">
        <v>76.5</v>
      </c>
      <c r="H1" s="26">
        <v>77</v>
      </c>
      <c r="I1" s="26">
        <v>77.5</v>
      </c>
      <c r="J1" s="26">
        <v>78</v>
      </c>
      <c r="K1" s="26">
        <v>78.5</v>
      </c>
      <c r="L1" s="26">
        <v>79</v>
      </c>
      <c r="M1" s="26">
        <v>79.5</v>
      </c>
      <c r="N1" s="26">
        <v>80</v>
      </c>
      <c r="O1" s="26">
        <v>80.5</v>
      </c>
      <c r="P1" s="26">
        <v>81</v>
      </c>
      <c r="Q1" s="26">
        <v>81.5</v>
      </c>
      <c r="R1" s="26">
        <v>82</v>
      </c>
      <c r="S1" s="26">
        <v>82.5</v>
      </c>
      <c r="T1" s="26">
        <v>83</v>
      </c>
      <c r="U1" s="26">
        <v>83.5</v>
      </c>
      <c r="V1" s="26">
        <v>84</v>
      </c>
      <c r="W1" s="26">
        <v>84.5</v>
      </c>
      <c r="X1" s="26">
        <v>85</v>
      </c>
      <c r="Y1" s="26">
        <v>85.5</v>
      </c>
      <c r="Z1" s="26">
        <v>86</v>
      </c>
      <c r="AA1" s="26">
        <v>86.5</v>
      </c>
      <c r="AB1" s="26">
        <v>87</v>
      </c>
      <c r="AC1" s="26">
        <v>87.5</v>
      </c>
      <c r="AD1" s="26">
        <v>88</v>
      </c>
      <c r="AE1" s="26">
        <v>88.5</v>
      </c>
      <c r="AF1" s="26">
        <v>89</v>
      </c>
      <c r="AG1" s="26">
        <v>89.5</v>
      </c>
      <c r="AH1" s="26">
        <v>90</v>
      </c>
    </row>
    <row r="2" spans="1:34" x14ac:dyDescent="0.25">
      <c r="A2" s="17" t="s">
        <v>48</v>
      </c>
      <c r="B2" s="20" t="s">
        <v>7</v>
      </c>
      <c r="C2" s="20"/>
      <c r="D2" s="22">
        <v>7.2028475642564455E-3</v>
      </c>
      <c r="E2" s="22">
        <v>6.8703420112302188E-3</v>
      </c>
      <c r="F2" s="22">
        <v>6.5637459818164261E-3</v>
      </c>
      <c r="G2" s="22">
        <v>6.2744229681442549E-3</v>
      </c>
      <c r="H2" s="22">
        <v>5.9980547162782998E-3</v>
      </c>
      <c r="I2" s="22">
        <v>5.7303229722831554E-3</v>
      </c>
      <c r="J2" s="22">
        <v>5.4755459900942289E-3</v>
      </c>
      <c r="K2" s="22">
        <v>5.2337237697115185E-3</v>
      </c>
      <c r="L2" s="22">
        <v>5.0048563111350242E-3</v>
      </c>
      <c r="M2" s="22">
        <v>4.7846253604293424E-3</v>
      </c>
      <c r="N2" s="22">
        <v>4.5773491715298759E-3</v>
      </c>
      <c r="O2" s="22">
        <v>4.3830277444366255E-3</v>
      </c>
      <c r="P2" s="22">
        <v>4.1930245712787821E-3</v>
      </c>
      <c r="Q2" s="22">
        <v>4.0138170329594523E-3</v>
      </c>
      <c r="R2" s="22">
        <v>3.8432460025109336E-3</v>
      </c>
      <c r="S2" s="22">
        <v>3.6791523529655225E-3</v>
      </c>
      <c r="T2" s="22">
        <v>3.523695211290923E-3</v>
      </c>
      <c r="U2" s="22">
        <v>3.374715450519432E-3</v>
      </c>
      <c r="V2" s="22">
        <v>3.2330767214381302E-3</v>
      </c>
      <c r="W2" s="22">
        <v>3.094028944718072E-3</v>
      </c>
      <c r="X2" s="22">
        <v>2.9623221996882029E-3</v>
      </c>
      <c r="Y2" s="22">
        <v>2.8370928355614419E-3</v>
      </c>
      <c r="Z2" s="22">
        <v>2.7161817253700867E-3</v>
      </c>
      <c r="AA2" s="22">
        <v>2.5995888691141369E-3</v>
      </c>
      <c r="AB2" s="22">
        <v>2.4873142667935929E-3</v>
      </c>
      <c r="AC2" s="22">
        <v>2.3793579184084547E-3</v>
      </c>
      <c r="AD2" s="22">
        <v>2.2735606969910183E-3</v>
      </c>
      <c r="AE2" s="22">
        <v>2.1742408564766908E-3</v>
      </c>
      <c r="AF2" s="22">
        <v>2.0749210159623633E-3</v>
      </c>
      <c r="AG2" s="22">
        <v>1.9820785563511444E-3</v>
      </c>
      <c r="AH2" s="22">
        <v>1.8892360967399252E-3</v>
      </c>
    </row>
    <row r="3" spans="1:34" x14ac:dyDescent="0.25">
      <c r="A3" s="17" t="s">
        <v>7</v>
      </c>
      <c r="B3" s="27" t="s">
        <v>8</v>
      </c>
      <c r="C3" s="27"/>
      <c r="D3" s="22">
        <v>9.6099695954451263E-4</v>
      </c>
      <c r="E3" s="22">
        <v>9.1663439006913643E-4</v>
      </c>
      <c r="F3" s="22">
        <v>8.7572864418924415E-4</v>
      </c>
      <c r="G3" s="22">
        <v>8.3712744737300768E-4</v>
      </c>
      <c r="H3" s="22">
        <v>8.0025466235451317E-4</v>
      </c>
      <c r="I3" s="22">
        <v>7.6453415186784662E-4</v>
      </c>
      <c r="J3" s="22">
        <v>7.3054205317892203E-4</v>
      </c>
      <c r="K3" s="22">
        <v>6.9827836628773938E-4</v>
      </c>
      <c r="L3" s="22">
        <v>6.6774309119429869E-4</v>
      </c>
      <c r="M3" s="22">
        <v>6.3836009063268585E-4</v>
      </c>
      <c r="N3" s="22">
        <v>6.1070550186881497E-4</v>
      </c>
      <c r="O3" s="22">
        <v>5.8477932490268592E-4</v>
      </c>
      <c r="P3" s="22">
        <v>5.5942928520247108E-4</v>
      </c>
      <c r="Q3" s="22">
        <v>5.3551958866704104E-4</v>
      </c>
      <c r="R3" s="22">
        <v>5.1276216666343896E-4</v>
      </c>
      <c r="S3" s="22">
        <v>4.9086895055870791E-4</v>
      </c>
      <c r="T3" s="22">
        <v>4.7012800898580472E-4</v>
      </c>
      <c r="U3" s="22">
        <v>4.5025127331177256E-4</v>
      </c>
      <c r="V3" s="22">
        <v>4.3135397098979415E-4</v>
      </c>
      <c r="W3" s="22">
        <v>4.1280235102736411E-4</v>
      </c>
      <c r="X3" s="22">
        <v>3.9523016441698783E-4</v>
      </c>
      <c r="Y3" s="22">
        <v>3.7852218370548253E-4</v>
      </c>
      <c r="Z3" s="22">
        <v>3.6239034025989115E-4</v>
      </c>
      <c r="AA3" s="22">
        <v>3.4683463408021376E-4</v>
      </c>
      <c r="AB3" s="22">
        <v>3.318550651664504E-4</v>
      </c>
      <c r="AC3" s="22">
        <v>3.1745163351860103E-4</v>
      </c>
      <c r="AD3" s="22">
        <v>3.0333627050370854E-4</v>
      </c>
      <c r="AE3" s="22">
        <v>2.9008511338768708E-4</v>
      </c>
      <c r="AF3" s="22">
        <v>2.7683395627166562E-4</v>
      </c>
      <c r="AG3" s="22">
        <v>2.6444700505451519E-4</v>
      </c>
      <c r="AH3" s="22">
        <v>2.5206005383736466E-4</v>
      </c>
    </row>
    <row r="4" spans="1:34" x14ac:dyDescent="0.25">
      <c r="A4" s="17" t="s">
        <v>8</v>
      </c>
      <c r="B4" s="19" t="s">
        <v>9</v>
      </c>
      <c r="C4" s="19"/>
      <c r="D4" s="22">
        <v>7.1354739224513137E-4</v>
      </c>
      <c r="E4" s="22">
        <v>6.8060785435371945E-4</v>
      </c>
      <c r="F4" s="22">
        <v>6.5023503370059937E-4</v>
      </c>
      <c r="G4" s="22">
        <v>6.2157335787300721E-4</v>
      </c>
      <c r="H4" s="22">
        <v>5.9419504066456086E-4</v>
      </c>
      <c r="I4" s="22">
        <v>5.6767229586887852E-4</v>
      </c>
      <c r="J4" s="22">
        <v>5.424329096923421E-4</v>
      </c>
      <c r="K4" s="22">
        <v>5.1847688213495159E-4</v>
      </c>
      <c r="L4" s="22">
        <v>4.9580421319670711E-4</v>
      </c>
      <c r="M4" s="22">
        <v>4.7398711667122643E-4</v>
      </c>
      <c r="N4" s="22">
        <v>4.5345337876489172E-4</v>
      </c>
      <c r="O4" s="22">
        <v>4.3420299947770287E-4</v>
      </c>
      <c r="P4" s="22">
        <v>4.1538040639689603E-4</v>
      </c>
      <c r="Q4" s="22">
        <v>3.9762727883204416E-4</v>
      </c>
      <c r="R4" s="22">
        <v>3.8072972367995624E-4</v>
      </c>
      <c r="S4" s="22">
        <v>3.6447384783744124E-4</v>
      </c>
      <c r="T4" s="22">
        <v>3.4907354440769019E-4</v>
      </c>
      <c r="U4" s="22">
        <v>3.343149202875121E-4</v>
      </c>
      <c r="V4" s="22">
        <v>3.202835327181834E-4</v>
      </c>
      <c r="W4" s="22">
        <v>3.0650881687268385E-4</v>
      </c>
      <c r="X4" s="22">
        <v>2.9346133757803368E-4</v>
      </c>
      <c r="Y4" s="22">
        <v>2.8105553759295648E-4</v>
      </c>
      <c r="Z4" s="22">
        <v>2.6907752381426123E-4</v>
      </c>
      <c r="AA4" s="22">
        <v>2.5752729624194793E-4</v>
      </c>
      <c r="AB4" s="22">
        <v>2.4640485487601658E-4</v>
      </c>
      <c r="AC4" s="22">
        <v>2.357101997164673E-4</v>
      </c>
      <c r="AD4" s="22">
        <v>2.2522943766010891E-4</v>
      </c>
      <c r="AE4" s="22">
        <v>2.1539035491332354E-4</v>
      </c>
      <c r="AF4" s="22">
        <v>2.0555127216653816E-4</v>
      </c>
      <c r="AG4" s="22">
        <v>1.9635386872932575E-4</v>
      </c>
      <c r="AH4" s="22">
        <v>1.8715646529211331E-4</v>
      </c>
    </row>
    <row r="5" spans="1:34" x14ac:dyDescent="0.25">
      <c r="A5" s="17" t="s">
        <v>9</v>
      </c>
      <c r="B5" s="17" t="s">
        <v>0</v>
      </c>
      <c r="D5" s="22">
        <v>1.5708679956050855E-3</v>
      </c>
      <c r="E5" s="22">
        <v>1.4983519070789514E-3</v>
      </c>
      <c r="F5" s="22">
        <v>1.4314864228535552E-3</v>
      </c>
      <c r="G5" s="22">
        <v>1.368388008161984E-3</v>
      </c>
      <c r="H5" s="22">
        <v>1.3081148956207817E-3</v>
      </c>
      <c r="I5" s="22">
        <v>1.2497253178464919E-3</v>
      </c>
      <c r="J5" s="22">
        <v>1.1941610422225709E-3</v>
      </c>
      <c r="K5" s="22">
        <v>1.1414220687490189E-3</v>
      </c>
      <c r="L5" s="22">
        <v>1.0915083974258359E-3</v>
      </c>
      <c r="M5" s="22">
        <v>1.0434782608695653E-3</v>
      </c>
      <c r="N5" s="22">
        <v>9.9827342646366347E-4</v>
      </c>
      <c r="O5" s="22">
        <v>9.5589389420813048E-4</v>
      </c>
      <c r="P5" s="22">
        <v>9.1445612933605393E-4</v>
      </c>
      <c r="Q5" s="22">
        <v>8.7537278292261814E-4</v>
      </c>
      <c r="R5" s="22">
        <v>8.381729712760948E-4</v>
      </c>
      <c r="S5" s="22">
        <v>8.023858107047559E-4</v>
      </c>
      <c r="T5" s="22">
        <v>7.6848218490032955E-4</v>
      </c>
      <c r="U5" s="22">
        <v>7.3599121017108775E-4</v>
      </c>
      <c r="V5" s="22">
        <v>7.0510123999372159E-4</v>
      </c>
      <c r="W5" s="22">
        <v>6.7477633024642914E-4</v>
      </c>
      <c r="X5" s="22">
        <v>6.4605242505101244E-4</v>
      </c>
      <c r="Y5" s="22">
        <v>6.1874117093078007E-4</v>
      </c>
      <c r="Z5" s="22">
        <v>5.9237168419400403E-4</v>
      </c>
      <c r="AA5" s="22">
        <v>5.6694396484068433E-4</v>
      </c>
      <c r="AB5" s="22">
        <v>5.4245801287082084E-4</v>
      </c>
      <c r="AC5" s="22">
        <v>5.1891382828441379E-4</v>
      </c>
      <c r="AD5" s="22">
        <v>4.9584052738973474E-4</v>
      </c>
      <c r="AE5" s="22">
        <v>4.7417987757024008E-4</v>
      </c>
      <c r="AF5" s="22">
        <v>4.5251922775074553E-4</v>
      </c>
      <c r="AG5" s="22">
        <v>4.3227122900643542E-4</v>
      </c>
      <c r="AH5" s="22">
        <v>4.1202323026212525E-4</v>
      </c>
    </row>
    <row r="6" spans="1:34" x14ac:dyDescent="0.25">
      <c r="A6" s="17" t="s">
        <v>0</v>
      </c>
      <c r="B6" s="17" t="s">
        <v>1</v>
      </c>
      <c r="D6" s="22">
        <v>3.586600825015425E-3</v>
      </c>
      <c r="E6" s="22">
        <v>3.4210323217023627E-3</v>
      </c>
      <c r="F6" s="22">
        <v>3.2683652602059029E-3</v>
      </c>
      <c r="G6" s="22">
        <v>3.1242991599205114E-3</v>
      </c>
      <c r="H6" s="22">
        <v>2.9866837805434207E-3</v>
      </c>
      <c r="I6" s="22">
        <v>2.8533688817718636E-3</v>
      </c>
      <c r="J6" s="22">
        <v>2.7265047039086083E-3</v>
      </c>
      <c r="K6" s="22">
        <v>2.6060912469536542E-3</v>
      </c>
      <c r="L6" s="22">
        <v>2.4921285109070009E-3</v>
      </c>
      <c r="M6" s="22">
        <v>2.3824662554658821E-3</v>
      </c>
      <c r="N6" s="22">
        <v>2.2792547209330638E-3</v>
      </c>
      <c r="O6" s="22">
        <v>2.1824939073085466E-3</v>
      </c>
      <c r="P6" s="22">
        <v>2.087883333986797E-3</v>
      </c>
      <c r="Q6" s="22">
        <v>1.9986483614219648E-3</v>
      </c>
      <c r="R6" s="22">
        <v>1.9137138694626668E-3</v>
      </c>
      <c r="S6" s="22">
        <v>1.8320047379575192E-3</v>
      </c>
      <c r="T6" s="22">
        <v>1.7545960870579056E-3</v>
      </c>
      <c r="U6" s="22">
        <v>1.6804127966124427E-3</v>
      </c>
      <c r="V6" s="22">
        <v>1.6098849146816839E-3</v>
      </c>
      <c r="W6" s="22">
        <v>1.5406471769325851E-3</v>
      </c>
      <c r="X6" s="22">
        <v>1.4750648476981904E-3</v>
      </c>
      <c r="Y6" s="22">
        <v>1.4127078789179463E-3</v>
      </c>
      <c r="Z6" s="22">
        <v>1.352501150440469E-3</v>
      </c>
      <c r="AA6" s="22">
        <v>1.2944446622657588E-3</v>
      </c>
      <c r="AB6" s="22">
        <v>1.2385384143938157E-3</v>
      </c>
      <c r="AC6" s="22">
        <v>1.1847824068246398E-3</v>
      </c>
      <c r="AD6" s="22">
        <v>1.1321015194068471E-3</v>
      </c>
      <c r="AE6" s="22">
        <v>1.0826459924432052E-3</v>
      </c>
      <c r="AF6" s="22">
        <v>1.0331904654795633E-3</v>
      </c>
      <c r="AG6" s="22">
        <v>9.8696029897007206E-4</v>
      </c>
      <c r="AH6" s="22">
        <v>9.4073013246058056E-4</v>
      </c>
    </row>
    <row r="7" spans="1:34" x14ac:dyDescent="0.25">
      <c r="A7" s="17" t="s">
        <v>1</v>
      </c>
      <c r="B7" s="17" t="s">
        <v>2</v>
      </c>
      <c r="D7" s="22">
        <v>3.964708345831046E-3</v>
      </c>
      <c r="E7" s="22">
        <v>3.7816852387393251E-3</v>
      </c>
      <c r="F7" s="22">
        <v>3.6129236724599463E-3</v>
      </c>
      <c r="G7" s="22">
        <v>3.4536698000554619E-3</v>
      </c>
      <c r="H7" s="22">
        <v>3.3015466980571484E-3</v>
      </c>
      <c r="I7" s="22">
        <v>3.1541774429962818E-3</v>
      </c>
      <c r="J7" s="22">
        <v>3.0139389583415869E-3</v>
      </c>
      <c r="K7" s="22">
        <v>2.8808312440930621E-3</v>
      </c>
      <c r="L7" s="22">
        <v>2.754854300250709E-3</v>
      </c>
      <c r="M7" s="22">
        <v>2.6336312033458033E-3</v>
      </c>
      <c r="N7" s="22">
        <v>2.519538876847068E-3</v>
      </c>
      <c r="O7" s="22">
        <v>2.4125773207545032E-3</v>
      </c>
      <c r="P7" s="22">
        <v>2.3079926881306632E-3</v>
      </c>
      <c r="Q7" s="22">
        <v>2.2093503641786314E-3</v>
      </c>
      <c r="R7" s="22">
        <v>2.1154618871640474E-3</v>
      </c>
      <c r="S7" s="22">
        <v>2.0251387953525487E-3</v>
      </c>
      <c r="T7" s="22">
        <v>1.9395695504784973E-3</v>
      </c>
      <c r="U7" s="22">
        <v>1.8575656908075314E-3</v>
      </c>
      <c r="V7" s="22">
        <v>1.7796026010333959E-3</v>
      </c>
      <c r="W7" s="22">
        <v>1.7030656653404944E-3</v>
      </c>
      <c r="X7" s="22">
        <v>1.6305694995444233E-3</v>
      </c>
      <c r="Y7" s="22">
        <v>1.5616387189514374E-3</v>
      </c>
      <c r="Z7" s="22">
        <v>1.4950848618271752E-3</v>
      </c>
      <c r="AA7" s="22">
        <v>1.4309079281716365E-3</v>
      </c>
      <c r="AB7" s="22">
        <v>1.3691079179848217E-3</v>
      </c>
      <c r="AC7" s="22">
        <v>1.3096848312667306E-3</v>
      </c>
      <c r="AD7" s="22">
        <v>1.251450206283001E-3</v>
      </c>
      <c r="AE7" s="22">
        <v>1.196780966502357E-3</v>
      </c>
      <c r="AF7" s="22">
        <v>1.1421117267217133E-3</v>
      </c>
      <c r="AG7" s="22">
        <v>1.0910078721441548E-3</v>
      </c>
      <c r="AH7" s="22">
        <v>1.0399040175665963E-3</v>
      </c>
    </row>
    <row r="8" spans="1:34" x14ac:dyDescent="0.25">
      <c r="A8" s="17" t="s">
        <v>2</v>
      </c>
      <c r="B8" s="17" t="s">
        <v>3</v>
      </c>
      <c r="D8" s="22">
        <v>3.9547806584252264E-3</v>
      </c>
      <c r="E8" s="22">
        <v>3.7722158438576346E-3</v>
      </c>
      <c r="F8" s="22">
        <v>3.6038768589966089E-3</v>
      </c>
      <c r="G8" s="22">
        <v>3.4450217606066271E-3</v>
      </c>
      <c r="H8" s="22">
        <v>3.2932795770699275E-3</v>
      </c>
      <c r="I8" s="22">
        <v>3.1462793367687501E-3</v>
      </c>
      <c r="J8" s="22">
        <v>3.0063920113208554E-3</v>
      </c>
      <c r="K8" s="22">
        <v>2.8736176007262432E-3</v>
      </c>
      <c r="L8" s="22">
        <v>2.7479561049849146E-3</v>
      </c>
      <c r="M8" s="22">
        <v>2.6270365524791073E-3</v>
      </c>
      <c r="N8" s="22">
        <v>2.5132299148265826E-3</v>
      </c>
      <c r="O8" s="22">
        <v>2.4065361920273406E-3</v>
      </c>
      <c r="P8" s="22">
        <v>2.3022134408458598E-3</v>
      </c>
      <c r="Q8" s="22">
        <v>2.2038181187087817E-3</v>
      </c>
      <c r="R8" s="22">
        <v>2.1101647398072249E-3</v>
      </c>
      <c r="S8" s="22">
        <v>2.0200678183323099E-3</v>
      </c>
      <c r="T8" s="22">
        <v>1.9347128400929163E-3</v>
      </c>
      <c r="U8" s="22">
        <v>1.8529143192801644E-3</v>
      </c>
      <c r="V8" s="22">
        <v>1.7751464502176061E-3</v>
      </c>
      <c r="W8" s="22">
        <v>1.6988011641257043E-3</v>
      </c>
      <c r="X8" s="22">
        <v>1.6264865297839961E-3</v>
      </c>
      <c r="Y8" s="22">
        <v>1.5577283528689291E-3</v>
      </c>
      <c r="Z8" s="22">
        <v>1.4913411475716231E-3</v>
      </c>
      <c r="AA8" s="22">
        <v>1.4273249138920779E-3</v>
      </c>
      <c r="AB8" s="22">
        <v>1.3656796518302938E-3</v>
      </c>
      <c r="AC8" s="22">
        <v>1.3064053613862708E-3</v>
      </c>
      <c r="AD8" s="22">
        <v>1.248316556751128E-3</v>
      </c>
      <c r="AE8" s="22">
        <v>1.1937842095426266E-3</v>
      </c>
      <c r="AF8" s="22">
        <v>1.1392518623341253E-3</v>
      </c>
      <c r="AG8" s="22">
        <v>1.0882759725522656E-3</v>
      </c>
      <c r="AH8" s="22">
        <v>1.0373000827704057E-3</v>
      </c>
    </row>
    <row r="9" spans="1:34" x14ac:dyDescent="0.25">
      <c r="A9" s="17" t="s">
        <v>3</v>
      </c>
      <c r="B9" s="17" t="s">
        <v>4</v>
      </c>
      <c r="D9" s="22">
        <v>5.0071093971167146E-3</v>
      </c>
      <c r="E9" s="22">
        <v>4.7759658578013751E-3</v>
      </c>
      <c r="F9" s="22">
        <v>4.5628335033677499E-3</v>
      </c>
      <c r="G9" s="22">
        <v>4.3617086055219344E-3</v>
      </c>
      <c r="H9" s="22">
        <v>4.1695893001169769E-3</v>
      </c>
      <c r="I9" s="22">
        <v>3.9834737230059238E-3</v>
      </c>
      <c r="J9" s="22">
        <v>3.8063637383357282E-3</v>
      </c>
      <c r="K9" s="22">
        <v>3.6382593461063901E-3</v>
      </c>
      <c r="L9" s="22">
        <v>3.4791605463179096E-3</v>
      </c>
      <c r="M9" s="22">
        <v>3.3260654748233339E-3</v>
      </c>
      <c r="N9" s="22">
        <v>3.1819759957696153E-3</v>
      </c>
      <c r="O9" s="22">
        <v>3.0468921091567538E-3</v>
      </c>
      <c r="P9" s="22">
        <v>2.9148100866908454E-3</v>
      </c>
      <c r="Q9" s="22">
        <v>2.7902327245923181E-3</v>
      </c>
      <c r="R9" s="22">
        <v>2.6716590907876958E-3</v>
      </c>
      <c r="S9" s="22">
        <v>2.557588253203502E-3</v>
      </c>
      <c r="T9" s="22">
        <v>2.449521143913213E-3</v>
      </c>
      <c r="U9" s="22">
        <v>2.3459568308433531E-3</v>
      </c>
      <c r="V9" s="22">
        <v>2.2474956868233122E-3</v>
      </c>
      <c r="W9" s="22">
        <v>2.1508356612914429E-3</v>
      </c>
      <c r="X9" s="22">
        <v>2.0592788048093926E-3</v>
      </c>
      <c r="Y9" s="22">
        <v>1.9722247445477709E-3</v>
      </c>
      <c r="Z9" s="22">
        <v>1.8881725484331017E-3</v>
      </c>
      <c r="AA9" s="22">
        <v>1.8071222164653851E-3</v>
      </c>
      <c r="AB9" s="22">
        <v>1.7290737486446209E-3</v>
      </c>
      <c r="AC9" s="22">
        <v>1.6540271449708094E-3</v>
      </c>
      <c r="AD9" s="22">
        <v>1.5804814733704738E-3</v>
      </c>
      <c r="AE9" s="22">
        <v>1.5114385979905669E-3</v>
      </c>
      <c r="AF9" s="22">
        <v>1.4423957226106603E-3</v>
      </c>
      <c r="AG9" s="22">
        <v>1.3778556434511824E-3</v>
      </c>
      <c r="AH9" s="22">
        <v>1.3133155642917043E-3</v>
      </c>
    </row>
    <row r="10" spans="1:34" x14ac:dyDescent="0.25">
      <c r="A10" s="17" t="s">
        <v>4</v>
      </c>
      <c r="B10" s="17" t="s">
        <v>5</v>
      </c>
      <c r="D10" s="22">
        <v>7.631057997480999E-3</v>
      </c>
      <c r="E10" s="22">
        <v>7.2787849364462053E-3</v>
      </c>
      <c r="F10" s="22">
        <v>6.9539617243232132E-3</v>
      </c>
      <c r="G10" s="22">
        <v>6.6474384114747556E-3</v>
      </c>
      <c r="H10" s="22">
        <v>6.3546400230821993E-3</v>
      </c>
      <c r="I10" s="22">
        <v>6.0709915843269102E-3</v>
      </c>
      <c r="J10" s="22">
        <v>5.8010680700275223E-3</v>
      </c>
      <c r="K10" s="22">
        <v>5.5448694801840358E-3</v>
      </c>
      <c r="L10" s="22">
        <v>5.3023958147964505E-3</v>
      </c>
      <c r="M10" s="22">
        <v>5.0690720990461324E-3</v>
      </c>
      <c r="N10" s="22">
        <v>4.8494733077517147E-3</v>
      </c>
      <c r="O10" s="22">
        <v>4.6435994409131974E-3</v>
      </c>
      <c r="P10" s="22">
        <v>4.4423005488933159E-3</v>
      </c>
      <c r="Q10" s="22">
        <v>4.2524390939200178E-3</v>
      </c>
      <c r="R10" s="22">
        <v>4.0717275885839869E-3</v>
      </c>
      <c r="S10" s="22">
        <v>3.8978785454759062E-3</v>
      </c>
      <c r="T10" s="22">
        <v>3.7331794520050932E-3</v>
      </c>
      <c r="U10" s="22">
        <v>3.5753428207622308E-3</v>
      </c>
      <c r="V10" s="22">
        <v>3.4252836467110461E-3</v>
      </c>
      <c r="W10" s="22">
        <v>3.2779694575510408E-3</v>
      </c>
      <c r="X10" s="22">
        <v>3.1384327255827137E-3</v>
      </c>
      <c r="Y10" s="22">
        <v>3.0057584558423364E-3</v>
      </c>
      <c r="Z10" s="22">
        <v>2.8776591609205927E-3</v>
      </c>
      <c r="AA10" s="22">
        <v>2.754134840817483E-3</v>
      </c>
      <c r="AB10" s="22">
        <v>2.6351854955330069E-3</v>
      </c>
      <c r="AC10" s="22">
        <v>2.5208111250671649E-3</v>
      </c>
      <c r="AD10" s="22">
        <v>2.4087242420106391E-3</v>
      </c>
      <c r="AE10" s="22">
        <v>2.3034998211820643E-3</v>
      </c>
      <c r="AF10" s="22">
        <v>2.1982754003534895E-3</v>
      </c>
      <c r="AG10" s="22">
        <v>2.0999134417528649E-3</v>
      </c>
      <c r="AH10" s="22">
        <v>2.0015514831522407E-3</v>
      </c>
    </row>
    <row r="11" spans="1:34" x14ac:dyDescent="0.25">
      <c r="A11" s="17" t="s">
        <v>5</v>
      </c>
      <c r="B11" s="17" t="s">
        <v>6</v>
      </c>
      <c r="D11" s="22">
        <v>1.1976539824002534E-2</v>
      </c>
      <c r="E11" s="22">
        <v>1.1423665983206254E-2</v>
      </c>
      <c r="F11" s="22">
        <v>1.091387322091358E-2</v>
      </c>
      <c r="G11" s="22">
        <v>1.043280117762331E-2</v>
      </c>
      <c r="H11" s="22">
        <v>9.973269673584844E-3</v>
      </c>
      <c r="I11" s="22">
        <v>9.5280985290475788E-3</v>
      </c>
      <c r="J11" s="22">
        <v>9.1044679237621187E-3</v>
      </c>
      <c r="K11" s="22">
        <v>8.7023778577284602E-3</v>
      </c>
      <c r="L11" s="22">
        <v>8.3218283309466051E-3</v>
      </c>
      <c r="M11" s="22">
        <v>7.9556391636659528E-3</v>
      </c>
      <c r="N11" s="22">
        <v>7.6109905356371022E-3</v>
      </c>
      <c r="O11" s="22">
        <v>7.2878824468600549E-3</v>
      </c>
      <c r="P11" s="22">
        <v>6.9719545378336091E-3</v>
      </c>
      <c r="Q11" s="22">
        <v>6.6739770781836663E-3</v>
      </c>
      <c r="R11" s="22">
        <v>6.3903599780349256E-3</v>
      </c>
      <c r="S11" s="22">
        <v>6.1175131475120857E-3</v>
      </c>
      <c r="T11" s="22">
        <v>5.8590266764904477E-3</v>
      </c>
      <c r="U11" s="22">
        <v>5.6113104750947123E-3</v>
      </c>
      <c r="V11" s="22">
        <v>5.3758005792749987E-3</v>
      </c>
      <c r="W11" s="22">
        <v>5.1445987913056454E-3</v>
      </c>
      <c r="X11" s="22">
        <v>4.9256033089123139E-3</v>
      </c>
      <c r="Y11" s="22">
        <v>4.7173780961448832E-3</v>
      </c>
      <c r="Z11" s="22">
        <v>4.516333063128054E-3</v>
      </c>
      <c r="AA11" s="22">
        <v>4.3224682098618262E-3</v>
      </c>
      <c r="AB11" s="22">
        <v>4.1357835363461989E-3</v>
      </c>
      <c r="AC11" s="22">
        <v>3.956279042581173E-3</v>
      </c>
      <c r="AD11" s="22">
        <v>3.780364638691447E-3</v>
      </c>
      <c r="AE11" s="22">
        <v>3.6152205044276231E-3</v>
      </c>
      <c r="AF11" s="22">
        <v>3.4500763701637996E-3</v>
      </c>
      <c r="AG11" s="22">
        <v>3.2957025055258774E-3</v>
      </c>
      <c r="AH11" s="22">
        <v>3.1413286408879548E-3</v>
      </c>
    </row>
    <row r="12" spans="1:34" x14ac:dyDescent="0.25">
      <c r="A12" s="17" t="s">
        <v>6</v>
      </c>
      <c r="B12" s="17" t="s">
        <v>10</v>
      </c>
      <c r="D12" s="22">
        <v>1.9328679170045857E-2</v>
      </c>
      <c r="E12" s="22">
        <v>1.8436408009318318E-2</v>
      </c>
      <c r="F12" s="22">
        <v>1.7613664471504618E-2</v>
      </c>
      <c r="G12" s="22">
        <v>1.6837272682300137E-2</v>
      </c>
      <c r="H12" s="22">
        <v>1.6095644704552575E-2</v>
      </c>
      <c r="I12" s="22">
        <v>1.5377192601109623E-2</v>
      </c>
      <c r="J12" s="22">
        <v>1.4693504309123589E-2</v>
      </c>
      <c r="K12" s="22">
        <v>1.4044579828594471E-2</v>
      </c>
      <c r="L12" s="22">
        <v>1.3430419159522271E-2</v>
      </c>
      <c r="M12" s="22">
        <v>1.2839434364754683E-2</v>
      </c>
      <c r="N12" s="22">
        <v>1.2283213381444009E-2</v>
      </c>
      <c r="O12" s="22">
        <v>1.1761756209590253E-2</v>
      </c>
      <c r="P12" s="22">
        <v>1.1251886974888804E-2</v>
      </c>
      <c r="Q12" s="22">
        <v>1.0770987583068119E-2</v>
      </c>
      <c r="R12" s="22">
        <v>1.0313264065552046E-2</v>
      </c>
      <c r="S12" s="22">
        <v>9.8729224537644298E-3</v>
      </c>
      <c r="T12" s="22">
        <v>9.4557567162814257E-3</v>
      </c>
      <c r="U12" s="22">
        <v>9.0559728845268795E-3</v>
      </c>
      <c r="V12" s="22">
        <v>8.6758885459312547E-3</v>
      </c>
      <c r="W12" s="22">
        <v>8.302756969627012E-3</v>
      </c>
      <c r="X12" s="22">
        <v>7.9493248864816891E-3</v>
      </c>
      <c r="Y12" s="22">
        <v>7.6132747090648248E-3</v>
      </c>
      <c r="Z12" s="22">
        <v>7.2888124688002664E-3</v>
      </c>
      <c r="AA12" s="22">
        <v>6.9759381656880129E-3</v>
      </c>
      <c r="AB12" s="22">
        <v>6.6746517997280652E-3</v>
      </c>
      <c r="AC12" s="22">
        <v>6.3849533709204242E-3</v>
      </c>
      <c r="AD12" s="22">
        <v>6.1010489106889344E-3</v>
      </c>
      <c r="AE12" s="22">
        <v>5.8345263561859042E-3</v>
      </c>
      <c r="AF12" s="22">
        <v>5.5680038016828739E-3</v>
      </c>
      <c r="AG12" s="22">
        <v>5.3188631529083024E-3</v>
      </c>
      <c r="AH12" s="22">
        <v>5.06972250413373E-3</v>
      </c>
    </row>
    <row r="13" spans="1:34" x14ac:dyDescent="0.25">
      <c r="A13" s="17" t="s">
        <v>10</v>
      </c>
      <c r="B13" s="17" t="s">
        <v>11</v>
      </c>
      <c r="D13" s="22">
        <v>3.2983943610558245E-2</v>
      </c>
      <c r="E13" s="22">
        <v>3.1461303527816648E-2</v>
      </c>
      <c r="F13" s="22">
        <v>3.005731072424972E-2</v>
      </c>
      <c r="G13" s="22">
        <v>2.873241610679924E-2</v>
      </c>
      <c r="H13" s="22">
        <v>2.7466845128936095E-2</v>
      </c>
      <c r="I13" s="22">
        <v>2.624082324413117E-2</v>
      </c>
      <c r="J13" s="22">
        <v>2.5074124998913584E-2</v>
      </c>
      <c r="K13" s="22">
        <v>2.3966750393283328E-2</v>
      </c>
      <c r="L13" s="22">
        <v>2.291869942724041E-2</v>
      </c>
      <c r="M13" s="22">
        <v>2.1910197554255717E-2</v>
      </c>
      <c r="N13" s="22">
        <v>2.0961019320858358E-2</v>
      </c>
      <c r="O13" s="22">
        <v>2.007116472704833E-2</v>
      </c>
      <c r="P13" s="22">
        <v>1.920108467976742E-2</v>
      </c>
      <c r="Q13" s="22">
        <v>1.8380440998809287E-2</v>
      </c>
      <c r="R13" s="22">
        <v>1.7599346410909374E-2</v>
      </c>
      <c r="S13" s="22">
        <v>1.6847913642803133E-2</v>
      </c>
      <c r="T13" s="22">
        <v>1.6136029967755112E-2</v>
      </c>
      <c r="U13" s="22">
        <v>1.545380811250076E-2</v>
      </c>
      <c r="V13" s="22">
        <v>1.4805202986345899E-2</v>
      </c>
      <c r="W13" s="22">
        <v>1.4168462588108503E-2</v>
      </c>
      <c r="X13" s="22">
        <v>1.3565338918970599E-2</v>
      </c>
      <c r="Y13" s="22">
        <v>1.2991877069626359E-2</v>
      </c>
      <c r="Z13" s="22">
        <v>1.2438189766811233E-2</v>
      </c>
      <c r="AA13" s="22">
        <v>1.1904277010525217E-2</v>
      </c>
      <c r="AB13" s="22">
        <v>1.1390138800768314E-2</v>
      </c>
      <c r="AC13" s="22">
        <v>1.0895775137540524E-2</v>
      </c>
      <c r="AD13" s="22">
        <v>1.0411298747577288E-2</v>
      </c>
      <c r="AE13" s="22">
        <v>9.9564841774077185E-3</v>
      </c>
      <c r="AF13" s="22">
        <v>9.5016696072381512E-3</v>
      </c>
      <c r="AG13" s="22">
        <v>9.076516856862251E-3</v>
      </c>
      <c r="AH13" s="22">
        <v>8.6513641064863509E-3</v>
      </c>
    </row>
    <row r="14" spans="1:34" x14ac:dyDescent="0.25">
      <c r="A14" s="17" t="s">
        <v>11</v>
      </c>
      <c r="B14" s="17" t="s">
        <v>12</v>
      </c>
      <c r="D14" s="22">
        <v>5.3584371390603458E-2</v>
      </c>
      <c r="E14" s="22">
        <v>5.1110752327607971E-2</v>
      </c>
      <c r="F14" s="22">
        <v>4.8829882801988765E-2</v>
      </c>
      <c r="G14" s="22">
        <v>4.6677512967953735E-2</v>
      </c>
      <c r="H14" s="22">
        <v>4.4621517902606836E-2</v>
      </c>
      <c r="I14" s="22">
        <v>4.2629772683052028E-2</v>
      </c>
      <c r="J14" s="22">
        <v>4.0734402232185364E-2</v>
      </c>
      <c r="K14" s="22">
        <v>3.8935406550006831E-2</v>
      </c>
      <c r="L14" s="22">
        <v>3.7232785636516434E-2</v>
      </c>
      <c r="M14" s="22">
        <v>3.5594414568818129E-2</v>
      </c>
      <c r="N14" s="22">
        <v>3.4052418269807955E-2</v>
      </c>
      <c r="O14" s="22">
        <v>3.260679673948591E-2</v>
      </c>
      <c r="P14" s="22">
        <v>3.1193300132059926E-2</v>
      </c>
      <c r="Q14" s="22">
        <v>2.9860115831874048E-2</v>
      </c>
      <c r="R14" s="22">
        <v>2.8591181377480263E-2</v>
      </c>
      <c r="S14" s="22">
        <v>2.7370434307430542E-2</v>
      </c>
      <c r="T14" s="22">
        <v>2.6213937083172913E-2</v>
      </c>
      <c r="U14" s="22">
        <v>2.5105627243259352E-2</v>
      </c>
      <c r="V14" s="22">
        <v>2.4051929772269071E-2</v>
      </c>
      <c r="W14" s="22">
        <v>2.3017507255016414E-2</v>
      </c>
      <c r="X14" s="22">
        <v>2.2037697106687036E-2</v>
      </c>
      <c r="Y14" s="22">
        <v>2.1106074342701724E-2</v>
      </c>
      <c r="Z14" s="22">
        <v>2.0206576501612453E-2</v>
      </c>
      <c r="AA14" s="22">
        <v>1.9339203583419232E-2</v>
      </c>
      <c r="AB14" s="22">
        <v>1.8503955588122057E-2</v>
      </c>
      <c r="AC14" s="22">
        <v>1.7700832515720927E-2</v>
      </c>
      <c r="AD14" s="22">
        <v>1.6913771904767817E-2</v>
      </c>
      <c r="AE14" s="22">
        <v>1.6174898678158776E-2</v>
      </c>
      <c r="AF14" s="22">
        <v>1.5436025451549736E-2</v>
      </c>
      <c r="AG14" s="22">
        <v>1.4745339609284765E-2</v>
      </c>
      <c r="AH14" s="22">
        <v>1.4054653767019792E-2</v>
      </c>
    </row>
    <row r="15" spans="1:34" x14ac:dyDescent="0.25">
      <c r="A15" s="17" t="s">
        <v>12</v>
      </c>
      <c r="B15" s="17" t="s">
        <v>13</v>
      </c>
      <c r="D15" s="22">
        <v>8.5280665447750689E-2</v>
      </c>
      <c r="E15" s="22">
        <v>8.1343848157896498E-2</v>
      </c>
      <c r="F15" s="22">
        <v>7.7713795851667308E-2</v>
      </c>
      <c r="G15" s="22">
        <v>7.428825353452144E-2</v>
      </c>
      <c r="H15" s="22">
        <v>7.1016093709188086E-2</v>
      </c>
      <c r="I15" s="22">
        <v>6.7846188878396385E-2</v>
      </c>
      <c r="J15" s="22">
        <v>6.4829666539417199E-2</v>
      </c>
      <c r="K15" s="22">
        <v>6.1966526692250508E-2</v>
      </c>
      <c r="L15" s="22">
        <v>5.9256769336896317E-2</v>
      </c>
      <c r="M15" s="22">
        <v>5.6649266976083801E-2</v>
      </c>
      <c r="N15" s="22">
        <v>5.4195147107083778E-2</v>
      </c>
      <c r="O15" s="22">
        <v>5.189440972989625E-2</v>
      </c>
      <c r="P15" s="22">
        <v>4.9644799849979569E-2</v>
      </c>
      <c r="Q15" s="22">
        <v>4.7523008713239973E-2</v>
      </c>
      <c r="R15" s="22">
        <v>4.5503472571042043E-2</v>
      </c>
      <c r="S15" s="22">
        <v>4.3560627674750357E-2</v>
      </c>
      <c r="T15" s="22">
        <v>4.1720037773000339E-2</v>
      </c>
      <c r="U15" s="22">
        <v>3.9956139117156578E-2</v>
      </c>
      <c r="V15" s="22">
        <v>3.8279157206673235E-2</v>
      </c>
      <c r="W15" s="22">
        <v>3.6632851794552383E-2</v>
      </c>
      <c r="X15" s="22">
        <v>3.5073463127791957E-2</v>
      </c>
      <c r="Y15" s="22">
        <v>3.3590765706937774E-2</v>
      </c>
      <c r="Z15" s="22">
        <v>3.2159195783354431E-2</v>
      </c>
      <c r="AA15" s="22">
        <v>3.0778753357041919E-2</v>
      </c>
      <c r="AB15" s="22">
        <v>2.9449438428000237E-2</v>
      </c>
      <c r="AC15" s="22">
        <v>2.8171250996229399E-2</v>
      </c>
      <c r="AD15" s="22">
        <v>2.6918627313093968E-2</v>
      </c>
      <c r="AE15" s="22">
        <v>2.574269487586479E-2</v>
      </c>
      <c r="AF15" s="22">
        <v>2.4566762438635616E-2</v>
      </c>
      <c r="AG15" s="22">
        <v>2.3467521247312693E-2</v>
      </c>
      <c r="AH15" s="22">
        <v>2.2368280055989766E-2</v>
      </c>
    </row>
    <row r="16" spans="1:34" x14ac:dyDescent="0.25">
      <c r="A16" s="17" t="s">
        <v>13</v>
      </c>
      <c r="B16" s="17" t="s">
        <v>14</v>
      </c>
      <c r="D16" s="22">
        <v>0.13097183562675535</v>
      </c>
      <c r="E16" s="22">
        <v>0.12492577367036438</v>
      </c>
      <c r="F16" s="22">
        <v>0.119350833424861</v>
      </c>
      <c r="G16" s="22">
        <v>0.11408997431994937</v>
      </c>
      <c r="H16" s="22">
        <v>0.10906467607048154</v>
      </c>
      <c r="I16" s="22">
        <v>0.10419641839130957</v>
      </c>
      <c r="J16" s="22">
        <v>9.956372156758142E-2</v>
      </c>
      <c r="K16" s="22">
        <v>9.5166585599297054E-2</v>
      </c>
      <c r="L16" s="22">
        <v>9.1005010486456511E-2</v>
      </c>
      <c r="M16" s="22">
        <v>8.7000475943911845E-2</v>
      </c>
      <c r="N16" s="22">
        <v>8.323150225681096E-2</v>
      </c>
      <c r="O16" s="22">
        <v>7.9698089425153884E-2</v>
      </c>
      <c r="P16" s="22">
        <v>7.6243196878644753E-2</v>
      </c>
      <c r="Q16" s="22">
        <v>7.2984605045005466E-2</v>
      </c>
      <c r="R16" s="22">
        <v>6.9883053781662027E-2</v>
      </c>
      <c r="S16" s="22">
        <v>6.68992829460405E-2</v>
      </c>
      <c r="T16" s="22">
        <v>6.407255268071485E-2</v>
      </c>
      <c r="U16" s="22">
        <v>6.1363602843111098E-2</v>
      </c>
      <c r="V16" s="22">
        <v>5.8788137490258838E-2</v>
      </c>
      <c r="W16" s="22">
        <v>5.6259784308495334E-2</v>
      </c>
      <c r="X16" s="22">
        <v>5.3864915611483322E-2</v>
      </c>
      <c r="Y16" s="22">
        <v>5.1587827342193207E-2</v>
      </c>
      <c r="Z16" s="22">
        <v>4.9389259358051031E-2</v>
      </c>
      <c r="AA16" s="22">
        <v>4.7269211659056787E-2</v>
      </c>
      <c r="AB16" s="22">
        <v>4.5227684245210481E-2</v>
      </c>
      <c r="AC16" s="22">
        <v>4.3264677116512114E-2</v>
      </c>
      <c r="AD16" s="22">
        <v>4.1340930130387706E-2</v>
      </c>
      <c r="AE16" s="22">
        <v>3.9534963571985202E-2</v>
      </c>
      <c r="AF16" s="22">
        <v>3.7728997013582705E-2</v>
      </c>
      <c r="AG16" s="22">
        <v>3.6040810882902105E-2</v>
      </c>
      <c r="AH16" s="22">
        <v>3.4352624752221506E-2</v>
      </c>
    </row>
    <row r="17" spans="1:34" x14ac:dyDescent="0.25">
      <c r="A17" s="17" t="s">
        <v>14</v>
      </c>
      <c r="B17" s="17" t="s">
        <v>15</v>
      </c>
      <c r="D17" s="22">
        <v>0.20863885838946228</v>
      </c>
      <c r="E17" s="22">
        <v>0.19900744825997271</v>
      </c>
      <c r="F17" s="22">
        <v>0.19012653762109274</v>
      </c>
      <c r="G17" s="22">
        <v>0.18174595997595247</v>
      </c>
      <c r="H17" s="22">
        <v>0.17374063207611698</v>
      </c>
      <c r="I17" s="22">
        <v>0.16598547067315136</v>
      </c>
      <c r="J17" s="22">
        <v>0.15860555901549053</v>
      </c>
      <c r="K17" s="22">
        <v>0.15160089710313446</v>
      </c>
      <c r="L17" s="22">
        <v>0.14497148493608322</v>
      </c>
      <c r="M17" s="22">
        <v>0.13859223926590183</v>
      </c>
      <c r="N17" s="22">
        <v>0.1325882433410252</v>
      </c>
      <c r="O17" s="22">
        <v>0.12695949716145336</v>
      </c>
      <c r="P17" s="22">
        <v>0.12145583423031647</v>
      </c>
      <c r="Q17" s="22">
        <v>0.11626487942026691</v>
      </c>
      <c r="R17" s="22">
        <v>0.1113240911070872</v>
      </c>
      <c r="S17" s="22">
        <v>0.10657092766655987</v>
      </c>
      <c r="T17" s="22">
        <v>0.10206793072290241</v>
      </c>
      <c r="U17" s="22">
        <v>9.7752558651897345E-2</v>
      </c>
      <c r="V17" s="22">
        <v>9.3649828103231678E-2</v>
      </c>
      <c r="W17" s="22">
        <v>8.9622147503626945E-2</v>
      </c>
      <c r="X17" s="22">
        <v>8.5807108426361592E-2</v>
      </c>
      <c r="Y17" s="22">
        <v>8.2179694221748645E-2</v>
      </c>
      <c r="Z17" s="22">
        <v>7.8677363265570621E-2</v>
      </c>
      <c r="AA17" s="22">
        <v>7.5300115557827521E-2</v>
      </c>
      <c r="AB17" s="22">
        <v>7.2047951098519344E-2</v>
      </c>
      <c r="AC17" s="22">
        <v>6.8920869887646119E-2</v>
      </c>
      <c r="AD17" s="22">
        <v>6.5856330300990348E-2</v>
      </c>
      <c r="AE17" s="22">
        <v>6.297941558698697E-2</v>
      </c>
      <c r="AF17" s="22">
        <v>6.0102500872983591E-2</v>
      </c>
      <c r="AG17" s="22">
        <v>5.7413211031632612E-2</v>
      </c>
      <c r="AH17" s="22">
        <v>5.4723921190281626E-2</v>
      </c>
    </row>
    <row r="18" spans="1:34" x14ac:dyDescent="0.25">
      <c r="A18" s="17" t="s">
        <v>15</v>
      </c>
      <c r="B18" s="17" t="s">
        <v>16</v>
      </c>
      <c r="D18" s="22">
        <v>0.36030420635711891</v>
      </c>
      <c r="E18" s="22">
        <v>0.34367145822192818</v>
      </c>
      <c r="F18" s="22">
        <v>0.32833476838298609</v>
      </c>
      <c r="G18" s="22">
        <v>0.31386211740820974</v>
      </c>
      <c r="H18" s="22">
        <v>0.30003749558155768</v>
      </c>
      <c r="I18" s="22">
        <v>0.28664489318698849</v>
      </c>
      <c r="J18" s="22">
        <v>0.27390031994054365</v>
      </c>
      <c r="K18" s="22">
        <v>0.26180377584222309</v>
      </c>
      <c r="L18" s="22">
        <v>0.25035526089202687</v>
      </c>
      <c r="M18" s="22">
        <v>0.23933876537391355</v>
      </c>
      <c r="N18" s="22">
        <v>0.22897029900392452</v>
      </c>
      <c r="O18" s="22">
        <v>0.21924986178205977</v>
      </c>
      <c r="P18" s="22">
        <v>0.20974543427623649</v>
      </c>
      <c r="Q18" s="22">
        <v>0.20078103106051681</v>
      </c>
      <c r="R18" s="22">
        <v>0.19224864727688001</v>
      </c>
      <c r="S18" s="22">
        <v>0.18404027806730536</v>
      </c>
      <c r="T18" s="22">
        <v>0.17626392828981358</v>
      </c>
      <c r="U18" s="22">
        <v>0.16881159308638394</v>
      </c>
      <c r="V18" s="22">
        <v>0.16172647440022478</v>
      </c>
      <c r="W18" s="22">
        <v>0.15477096154369047</v>
      </c>
      <c r="X18" s="22">
        <v>0.14818266520442663</v>
      </c>
      <c r="Y18" s="22">
        <v>0.14191838343922492</v>
      </c>
      <c r="Z18" s="22">
        <v>0.13587011139006464</v>
      </c>
      <c r="AA18" s="22">
        <v>0.13003784905694579</v>
      </c>
      <c r="AB18" s="22">
        <v>0.1244215964398684</v>
      </c>
      <c r="AC18" s="22">
        <v>0.11902135353883246</v>
      </c>
      <c r="AD18" s="22">
        <v>0.11372911549581721</v>
      </c>
      <c r="AE18" s="22">
        <v>0.10876089202686412</v>
      </c>
      <c r="AF18" s="22">
        <v>0.10379266855791106</v>
      </c>
      <c r="AG18" s="22">
        <v>9.9148459663020133E-2</v>
      </c>
      <c r="AH18" s="22">
        <v>9.4504250768129211E-2</v>
      </c>
    </row>
    <row r="19" spans="1:34" x14ac:dyDescent="0.25">
      <c r="A19" s="17" t="s">
        <v>16</v>
      </c>
      <c r="B19" s="17" t="s">
        <v>17</v>
      </c>
      <c r="D19" s="22">
        <v>0.61805626886697529</v>
      </c>
      <c r="E19" s="22">
        <v>0.5895248943449386</v>
      </c>
      <c r="F19" s="22">
        <v>0.56321674381163211</v>
      </c>
      <c r="G19" s="22">
        <v>0.53839074260414577</v>
      </c>
      <c r="H19" s="22">
        <v>0.51467635339102435</v>
      </c>
      <c r="I19" s="22">
        <v>0.49170303884081307</v>
      </c>
      <c r="J19" s="22">
        <v>0.46984133628496683</v>
      </c>
      <c r="K19" s="22">
        <v>0.44909124572348563</v>
      </c>
      <c r="L19" s="22">
        <v>0.42945276715636954</v>
      </c>
      <c r="M19" s="22">
        <v>0.41055536325216346</v>
      </c>
      <c r="N19" s="22">
        <v>0.39276957134232243</v>
      </c>
      <c r="O19" s="22">
        <v>0.37609539142684645</v>
      </c>
      <c r="P19" s="22">
        <v>0.35979174884282555</v>
      </c>
      <c r="Q19" s="22">
        <v>0.34441444958744216</v>
      </c>
      <c r="R19" s="22">
        <v>0.32977822499496884</v>
      </c>
      <c r="S19" s="22">
        <v>0.31569780639967804</v>
      </c>
      <c r="T19" s="22">
        <v>0.30235846246729725</v>
      </c>
      <c r="U19" s="22">
        <v>0.28957492453209904</v>
      </c>
      <c r="V19" s="22">
        <v>0.27742130006037435</v>
      </c>
      <c r="W19" s="22">
        <v>0.26548999798752265</v>
      </c>
      <c r="X19" s="22">
        <v>0.25418860937814453</v>
      </c>
      <c r="Y19" s="22">
        <v>0.24344302676594892</v>
      </c>
      <c r="Z19" s="22">
        <v>0.2330679814852083</v>
      </c>
      <c r="AA19" s="22">
        <v>0.22306347353592273</v>
      </c>
      <c r="AB19" s="22">
        <v>0.21342950291809218</v>
      </c>
      <c r="AC19" s="22">
        <v>0.20416606963171668</v>
      </c>
      <c r="AD19" s="22">
        <v>0.19508790501106862</v>
      </c>
      <c r="AE19" s="22">
        <v>0.18656554638760314</v>
      </c>
      <c r="AF19" s="22">
        <v>0.17804318776413766</v>
      </c>
      <c r="AG19" s="22">
        <v>0.17007663513785473</v>
      </c>
      <c r="AH19" s="22">
        <v>0.16211008251157175</v>
      </c>
    </row>
    <row r="20" spans="1:34" x14ac:dyDescent="0.25">
      <c r="A20" s="17" t="s">
        <v>17</v>
      </c>
      <c r="B20" s="17" t="s">
        <v>18</v>
      </c>
      <c r="D20" s="22">
        <v>0.9</v>
      </c>
      <c r="E20" s="22">
        <v>0.9</v>
      </c>
      <c r="F20" s="22">
        <v>0.87903797785146709</v>
      </c>
      <c r="G20" s="22">
        <v>0.84029090909090909</v>
      </c>
      <c r="H20" s="22">
        <v>0.80327878370768935</v>
      </c>
      <c r="I20" s="22">
        <v>0.76742328724269526</v>
      </c>
      <c r="J20" s="22">
        <v>0.73330273415503966</v>
      </c>
      <c r="K20" s="22">
        <v>0.70091712444472243</v>
      </c>
      <c r="L20" s="22">
        <v>0.67026645811174368</v>
      </c>
      <c r="M20" s="22">
        <v>0.64077242069699059</v>
      </c>
      <c r="N20" s="22">
        <v>0.61301332665957575</v>
      </c>
      <c r="O20" s="22">
        <v>0.5869891759994994</v>
      </c>
      <c r="P20" s="22">
        <v>0.56154333979853588</v>
      </c>
      <c r="Q20" s="22">
        <v>0.53754328974535437</v>
      </c>
      <c r="R20" s="22">
        <v>0.51469986861039851</v>
      </c>
      <c r="S20" s="22">
        <v>0.49272391916411185</v>
      </c>
      <c r="T20" s="22">
        <v>0.47190459863605072</v>
      </c>
      <c r="U20" s="22">
        <v>0.45195274979665889</v>
      </c>
      <c r="V20" s="22">
        <v>0.43298403553775888</v>
      </c>
      <c r="W20" s="22">
        <v>0.41436230995432644</v>
      </c>
      <c r="X20" s="22">
        <v>0.39672371895138586</v>
      </c>
      <c r="Y20" s="22">
        <v>0.37995259963711442</v>
      </c>
      <c r="Z20" s="22">
        <v>0.3637597947819558</v>
      </c>
      <c r="AA20" s="22">
        <v>0.34814530438591001</v>
      </c>
      <c r="AB20" s="22">
        <v>0.333109128448977</v>
      </c>
      <c r="AC20" s="22">
        <v>0.31865126697115687</v>
      </c>
      <c r="AD20" s="22">
        <v>0.30448256272289304</v>
      </c>
      <c r="AE20" s="22">
        <v>0.29118133016329845</v>
      </c>
      <c r="AF20" s="22">
        <v>0.27788009760370391</v>
      </c>
      <c r="AG20" s="22">
        <v>0.26544633673277857</v>
      </c>
      <c r="AH20" s="22">
        <v>0.25301257586185322</v>
      </c>
    </row>
    <row r="21" spans="1:34" x14ac:dyDescent="0.25">
      <c r="A21" s="17" t="s">
        <v>18</v>
      </c>
      <c r="B21" s="17" t="s">
        <v>19</v>
      </c>
      <c r="D21" s="22">
        <v>0.95</v>
      </c>
      <c r="E21" s="22">
        <v>0.95</v>
      </c>
      <c r="F21" s="22">
        <v>0.95</v>
      </c>
      <c r="G21" s="22">
        <v>0.95</v>
      </c>
      <c r="H21" s="22">
        <v>0.95</v>
      </c>
      <c r="I21" s="22">
        <v>0.95</v>
      </c>
      <c r="J21" s="22">
        <v>0.95</v>
      </c>
      <c r="K21" s="22">
        <v>0.93831641979199498</v>
      </c>
      <c r="L21" s="22">
        <v>0.8972844311377246</v>
      </c>
      <c r="M21" s="22">
        <v>0.85780081941380404</v>
      </c>
      <c r="N21" s="22">
        <v>0.82063977308540814</v>
      </c>
      <c r="O21" s="22">
        <v>0.78580129215253702</v>
      </c>
      <c r="P21" s="22">
        <v>0.75173699968484087</v>
      </c>
      <c r="Q21" s="22">
        <v>0.71960817838008195</v>
      </c>
      <c r="R21" s="22">
        <v>0.68902773400567285</v>
      </c>
      <c r="S21" s="22">
        <v>0.65960857232902614</v>
      </c>
      <c r="T21" s="22">
        <v>0.63173778758272925</v>
      </c>
      <c r="U21" s="22">
        <v>0.60502828553419474</v>
      </c>
      <c r="V21" s="22">
        <v>0.57963490387645766</v>
      </c>
      <c r="W21" s="22">
        <v>0.55470603529782547</v>
      </c>
      <c r="X21" s="22">
        <v>0.5310932871099906</v>
      </c>
      <c r="Y21" s="22">
        <v>0.50864182161991811</v>
      </c>
      <c r="Z21" s="22">
        <v>0.48696454459502048</v>
      </c>
      <c r="AA21" s="22">
        <v>0.46606145603529781</v>
      </c>
      <c r="AB21" s="22">
        <v>0.44593255594075004</v>
      </c>
      <c r="AC21" s="22">
        <v>0.4265778443113773</v>
      </c>
      <c r="AD21" s="22">
        <v>0.40761022691459187</v>
      </c>
      <c r="AE21" s="22">
        <v>0.38980389221556883</v>
      </c>
      <c r="AF21" s="22">
        <v>0.37199755751654584</v>
      </c>
      <c r="AG21" s="22">
        <v>0.35535250551528524</v>
      </c>
      <c r="AH21" s="22">
        <v>0.33870745351402459</v>
      </c>
    </row>
    <row r="22" spans="1:34" x14ac:dyDescent="0.25">
      <c r="A22" s="17" t="s">
        <v>47</v>
      </c>
      <c r="B22" s="17" t="s">
        <v>20</v>
      </c>
      <c r="D22" s="22">
        <v>0.99</v>
      </c>
      <c r="E22" s="22">
        <v>0.99</v>
      </c>
      <c r="F22" s="22">
        <v>0.99</v>
      </c>
      <c r="G22" s="22">
        <v>0.99</v>
      </c>
      <c r="H22" s="22">
        <v>0.99</v>
      </c>
      <c r="I22" s="22">
        <v>0.99</v>
      </c>
      <c r="J22" s="22">
        <v>0.99</v>
      </c>
      <c r="K22" s="22">
        <v>0.99</v>
      </c>
      <c r="L22" s="22">
        <v>0.99</v>
      </c>
      <c r="M22" s="22">
        <v>0.98506831845509202</v>
      </c>
      <c r="N22" s="22">
        <v>0.94239387866642377</v>
      </c>
      <c r="O22" s="22">
        <v>0.90238659136454713</v>
      </c>
      <c r="P22" s="22">
        <v>0.86326835489160136</v>
      </c>
      <c r="Q22" s="22">
        <v>0.82637274549098194</v>
      </c>
      <c r="R22" s="22">
        <v>0.79125523774822371</v>
      </c>
      <c r="S22" s="22">
        <v>0.75747130624886128</v>
      </c>
      <c r="T22" s="22">
        <v>0.72546547640736003</v>
      </c>
      <c r="U22" s="22">
        <v>0.69479322280925482</v>
      </c>
      <c r="V22" s="22">
        <v>0.66563235562033152</v>
      </c>
      <c r="W22" s="22">
        <v>0.63700491892876665</v>
      </c>
      <c r="X22" s="22">
        <v>0.6098888686463837</v>
      </c>
      <c r="Y22" s="22">
        <v>0.58410639460739655</v>
      </c>
      <c r="Z22" s="22">
        <v>0.55921297139734005</v>
      </c>
      <c r="AA22" s="22">
        <v>0.5352085990162142</v>
      </c>
      <c r="AB22" s="22">
        <v>0.51209327746401889</v>
      </c>
      <c r="AC22" s="22">
        <v>0.48986700674075423</v>
      </c>
      <c r="AD22" s="22">
        <v>0.46808526143195478</v>
      </c>
      <c r="AE22" s="22">
        <v>0.44763709236655119</v>
      </c>
      <c r="AF22" s="22">
        <v>0.42718892330114772</v>
      </c>
      <c r="AG22" s="22">
        <v>0.4080743304791401</v>
      </c>
      <c r="AH22" s="22">
        <v>0.38895973765713243</v>
      </c>
    </row>
    <row r="24" spans="1:34" x14ac:dyDescent="0.25"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6"/>
      <c r="P24" s="26"/>
      <c r="Q24" s="26"/>
      <c r="R24" s="26"/>
      <c r="S24" s="26"/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  <c r="AE24" s="26"/>
      <c r="AF24" s="26"/>
      <c r="AG24" s="26"/>
      <c r="AH24" s="26"/>
    </row>
  </sheetData>
  <pageMargins left="0.7" right="0.7" top="0.75" bottom="0.75" header="0.3" footer="0.3"/>
  <pageSetup paperSize="9" orientation="portrait" r:id="rId1"/>
  <ignoredErrors>
    <ignoredError sqref="B4" twoDigitTextYear="1"/>
  </ignoredError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</sheetPr>
  <dimension ref="A1:AH24"/>
  <sheetViews>
    <sheetView workbookViewId="0"/>
  </sheetViews>
  <sheetFormatPr baseColWidth="10" defaultColWidth="11.19921875" defaultRowHeight="13.8" x14ac:dyDescent="0.25"/>
  <cols>
    <col min="1" max="1" width="12.69921875" style="17" customWidth="1"/>
    <col min="2" max="16384" width="11.19921875" style="17"/>
  </cols>
  <sheetData>
    <row r="1" spans="1:34" x14ac:dyDescent="0.25">
      <c r="A1" s="17" t="s">
        <v>43</v>
      </c>
      <c r="B1" s="17" t="s">
        <v>44</v>
      </c>
      <c r="C1" s="20" t="s">
        <v>45</v>
      </c>
      <c r="D1" s="26">
        <v>80</v>
      </c>
      <c r="E1" s="26">
        <v>80.5</v>
      </c>
      <c r="F1" s="26">
        <v>81</v>
      </c>
      <c r="G1" s="26">
        <v>81.5</v>
      </c>
      <c r="H1" s="26">
        <v>82</v>
      </c>
      <c r="I1" s="26">
        <v>82.5</v>
      </c>
      <c r="J1" s="26">
        <v>83</v>
      </c>
      <c r="K1" s="26">
        <v>83.5</v>
      </c>
      <c r="L1" s="26">
        <v>84</v>
      </c>
      <c r="M1" s="26">
        <v>84.5</v>
      </c>
      <c r="N1" s="26">
        <v>85</v>
      </c>
      <c r="O1" s="26">
        <v>85.5</v>
      </c>
      <c r="P1" s="26">
        <v>86</v>
      </c>
      <c r="Q1" s="26">
        <v>86.5</v>
      </c>
      <c r="R1" s="26">
        <v>87</v>
      </c>
      <c r="S1" s="26">
        <v>87.5</v>
      </c>
      <c r="T1" s="26">
        <v>88</v>
      </c>
      <c r="U1" s="26">
        <v>88.5</v>
      </c>
      <c r="V1" s="26">
        <v>89</v>
      </c>
      <c r="W1" s="26">
        <v>89.5</v>
      </c>
      <c r="X1" s="26">
        <v>90</v>
      </c>
      <c r="Y1" s="26">
        <v>90.5</v>
      </c>
      <c r="Z1" s="26">
        <v>91</v>
      </c>
      <c r="AA1" s="26">
        <v>91.5</v>
      </c>
      <c r="AB1" s="26">
        <v>92</v>
      </c>
      <c r="AC1" s="26">
        <v>92.5</v>
      </c>
      <c r="AD1" s="26">
        <v>93</v>
      </c>
      <c r="AE1" s="26">
        <v>93.5</v>
      </c>
      <c r="AF1" s="26">
        <v>94</v>
      </c>
      <c r="AG1" s="26">
        <v>94.5</v>
      </c>
      <c r="AH1" s="26">
        <v>95</v>
      </c>
    </row>
    <row r="2" spans="1:34" x14ac:dyDescent="0.25">
      <c r="A2" s="17" t="s">
        <v>48</v>
      </c>
      <c r="B2" s="20" t="s">
        <v>7</v>
      </c>
      <c r="C2" s="20"/>
      <c r="D2" s="22">
        <v>5.8081490135079286E-3</v>
      </c>
      <c r="E2" s="22">
        <v>5.5230864852376009E-3</v>
      </c>
      <c r="F2" s="22">
        <v>5.2487138017774104E-3</v>
      </c>
      <c r="G2" s="22">
        <v>4.9814676815239777E-3</v>
      </c>
      <c r="H2" s="22">
        <v>4.7320379692874417E-3</v>
      </c>
      <c r="I2" s="22">
        <v>4.5004246650677997E-3</v>
      </c>
      <c r="J2" s="22">
        <v>4.2830644872616751E-3</v>
      </c>
      <c r="K2" s="22">
        <v>4.0728308726623082E-3</v>
      </c>
      <c r="L2" s="22">
        <v>3.8768503844764583E-3</v>
      </c>
      <c r="M2" s="22">
        <v>3.6915597411007451E-3</v>
      </c>
      <c r="N2" s="22">
        <v>3.516958942535169E-3</v>
      </c>
      <c r="O2" s="22">
        <v>3.3494847071763511E-3</v>
      </c>
      <c r="P2" s="22">
        <v>3.1927003166276713E-3</v>
      </c>
      <c r="Q2" s="22">
        <v>3.0430424892857492E-3</v>
      </c>
      <c r="R2" s="22">
        <v>2.8969479435472061E-3</v>
      </c>
      <c r="S2" s="22">
        <v>2.7615432426188005E-3</v>
      </c>
      <c r="T2" s="22">
        <v>2.6297018232937738E-3</v>
      </c>
      <c r="U2" s="22">
        <v>2.5049869671755053E-3</v>
      </c>
      <c r="V2" s="22">
        <v>2.3838353926606162E-3</v>
      </c>
      <c r="W2" s="22">
        <v>2.2680287405507952E-3</v>
      </c>
      <c r="X2" s="22">
        <v>2.1575670108460437E-3</v>
      </c>
      <c r="Y2" s="22">
        <v>2.0506685627446706E-3</v>
      </c>
      <c r="Z2" s="22">
        <v>1.9473333962466766E-3</v>
      </c>
      <c r="AA2" s="22">
        <v>1.8475615113520618E-3</v>
      </c>
      <c r="AB2" s="22">
        <v>1.7513529080608263E-3</v>
      </c>
      <c r="AC2" s="22">
        <v>1.6587075863729699E-3</v>
      </c>
      <c r="AD2" s="22">
        <v>1.5696255462884924E-3</v>
      </c>
      <c r="AE2" s="22">
        <v>1.4823251470057043E-3</v>
      </c>
      <c r="AF2" s="22">
        <v>1.3978753730056199E-3</v>
      </c>
      <c r="AG2" s="22">
        <v>1.3166325524485763E-3</v>
      </c>
      <c r="AH2" s="22">
        <v>1.2364587163725467E-3</v>
      </c>
    </row>
    <row r="3" spans="1:34" x14ac:dyDescent="0.25">
      <c r="A3" s="17" t="s">
        <v>7</v>
      </c>
      <c r="B3" s="27" t="s">
        <v>8</v>
      </c>
      <c r="C3" s="27"/>
      <c r="D3" s="22">
        <v>7.5038555085818633E-4</v>
      </c>
      <c r="E3" s="22">
        <v>7.1355681216576006E-4</v>
      </c>
      <c r="F3" s="22">
        <v>6.7810915117429973E-4</v>
      </c>
      <c r="G3" s="22">
        <v>6.4358220865014997E-4</v>
      </c>
      <c r="H3" s="22">
        <v>6.1135706229427703E-4</v>
      </c>
      <c r="I3" s="22">
        <v>5.814337121066806E-4</v>
      </c>
      <c r="J3" s="22">
        <v>5.5335179885370551E-4</v>
      </c>
      <c r="K3" s="22">
        <v>5.2619060406804109E-4</v>
      </c>
      <c r="L3" s="22">
        <v>5.00870846216998E-4</v>
      </c>
      <c r="M3" s="22">
        <v>4.7693216606692091E-4</v>
      </c>
      <c r="N3" s="22">
        <v>4.5437456361780977E-4</v>
      </c>
      <c r="O3" s="22">
        <v>4.327376796360093E-4</v>
      </c>
      <c r="P3" s="22">
        <v>4.1248187335517482E-4</v>
      </c>
      <c r="Q3" s="22">
        <v>3.9314678554165102E-4</v>
      </c>
      <c r="R3" s="22">
        <v>3.742720569617825E-4</v>
      </c>
      <c r="S3" s="22">
        <v>3.5677840608288003E-4</v>
      </c>
      <c r="T3" s="22">
        <v>3.3974511443763284E-4</v>
      </c>
      <c r="U3" s="22">
        <v>3.2363254125969632E-4</v>
      </c>
      <c r="V3" s="22">
        <v>3.0798032731541513E-4</v>
      </c>
      <c r="W3" s="22">
        <v>2.9301865222161692E-4</v>
      </c>
      <c r="X3" s="22">
        <v>2.7874751597830179E-4</v>
      </c>
      <c r="Y3" s="22">
        <v>2.6493673896864188E-4</v>
      </c>
      <c r="Z3" s="22">
        <v>2.5158632119263731E-4</v>
      </c>
      <c r="AA3" s="22">
        <v>2.3869626265028809E-4</v>
      </c>
      <c r="AB3" s="22">
        <v>2.2626656334159422E-4</v>
      </c>
      <c r="AC3" s="22">
        <v>2.1429722326655567E-4</v>
      </c>
      <c r="AD3" s="22">
        <v>2.0278824242517246E-4</v>
      </c>
      <c r="AE3" s="22">
        <v>1.9150944120061687E-4</v>
      </c>
      <c r="AF3" s="22">
        <v>1.8059892736298558E-4</v>
      </c>
      <c r="AG3" s="22">
        <v>1.7010273683564409E-4</v>
      </c>
      <c r="AH3" s="22">
        <v>1.5974465407839918E-4</v>
      </c>
    </row>
    <row r="4" spans="1:34" x14ac:dyDescent="0.25">
      <c r="A4" s="17" t="s">
        <v>8</v>
      </c>
      <c r="B4" s="19" t="s">
        <v>9</v>
      </c>
      <c r="C4" s="19"/>
      <c r="D4" s="22">
        <v>6.6626141091884758E-4</v>
      </c>
      <c r="E4" s="22">
        <v>6.3356146437068333E-4</v>
      </c>
      <c r="F4" s="22">
        <v>6.0208776581807514E-4</v>
      </c>
      <c r="G4" s="22">
        <v>5.714315659291711E-4</v>
      </c>
      <c r="H4" s="22">
        <v>5.4281911269952739E-4</v>
      </c>
      <c r="I4" s="22">
        <v>5.1625040612914377E-4</v>
      </c>
      <c r="J4" s="22">
        <v>4.9131669688616856E-4</v>
      </c>
      <c r="K4" s="22">
        <v>4.6720048630689739E-4</v>
      </c>
      <c r="L4" s="22">
        <v>4.4471927305503447E-4</v>
      </c>
      <c r="M4" s="22">
        <v>4.2346430779872766E-4</v>
      </c>
      <c r="N4" s="22">
        <v>4.0343559053797703E-4</v>
      </c>
      <c r="O4" s="22">
        <v>3.8422437194093049E-4</v>
      </c>
      <c r="P4" s="22">
        <v>3.6623940133944017E-4</v>
      </c>
      <c r="Q4" s="22">
        <v>3.490719294016539E-4</v>
      </c>
      <c r="R4" s="22">
        <v>3.3231320679571964E-4</v>
      </c>
      <c r="S4" s="22">
        <v>3.1678073218534167E-4</v>
      </c>
      <c r="T4" s="22">
        <v>3.0165700690681566E-4</v>
      </c>
      <c r="U4" s="22">
        <v>2.8735078029199374E-4</v>
      </c>
      <c r="V4" s="22">
        <v>2.7345330300902396E-4</v>
      </c>
      <c r="W4" s="22">
        <v>2.601689497238322E-4</v>
      </c>
      <c r="X4" s="22">
        <v>2.4749772043641854E-4</v>
      </c>
      <c r="Y4" s="22">
        <v>2.3523524048085691E-4</v>
      </c>
      <c r="Z4" s="22">
        <v>2.2338150985714737E-4</v>
      </c>
      <c r="AA4" s="22">
        <v>2.1193652856528984E-4</v>
      </c>
      <c r="AB4" s="22">
        <v>2.0090029660528439E-4</v>
      </c>
      <c r="AC4" s="22">
        <v>1.9027281397713102E-4</v>
      </c>
      <c r="AD4" s="22">
        <v>1.8005408068082966E-4</v>
      </c>
      <c r="AE4" s="22">
        <v>1.7003972205045434E-4</v>
      </c>
      <c r="AF4" s="22">
        <v>1.6035236288556068E-4</v>
      </c>
      <c r="AG4" s="22">
        <v>1.5103287811933384E-4</v>
      </c>
      <c r="AH4" s="22">
        <v>1.4183601815266264E-4</v>
      </c>
    </row>
    <row r="5" spans="1:34" x14ac:dyDescent="0.25">
      <c r="A5" s="17" t="s">
        <v>9</v>
      </c>
      <c r="B5" s="17" t="s">
        <v>0</v>
      </c>
      <c r="D5" s="22">
        <v>8.2956034933910747E-4</v>
      </c>
      <c r="E5" s="22">
        <v>7.8884573096663611E-4</v>
      </c>
      <c r="F5" s="22">
        <v>7.4965791078313222E-4</v>
      </c>
      <c r="G5" s="22">
        <v>7.1148795605894004E-4</v>
      </c>
      <c r="H5" s="22">
        <v>6.7586266498302757E-4</v>
      </c>
      <c r="I5" s="22">
        <v>6.427820375553944E-4</v>
      </c>
      <c r="J5" s="22">
        <v>6.1173714104638486E-4</v>
      </c>
      <c r="K5" s="22">
        <v>5.8171010999668715E-4</v>
      </c>
      <c r="L5" s="22">
        <v>5.5371880986561297E-4</v>
      </c>
      <c r="M5" s="22">
        <v>5.2725430792350647E-4</v>
      </c>
      <c r="N5" s="22">
        <v>5.0231660417036754E-4</v>
      </c>
      <c r="O5" s="22">
        <v>4.7839676587654054E-4</v>
      </c>
      <c r="P5" s="22">
        <v>4.5600372577168122E-4</v>
      </c>
      <c r="Q5" s="22">
        <v>4.3462855112613366E-4</v>
      </c>
      <c r="R5" s="22">
        <v>4.1376230921024197E-4</v>
      </c>
      <c r="S5" s="22">
        <v>3.9442286548331806E-4</v>
      </c>
      <c r="T5" s="22">
        <v>3.7559235448604995E-4</v>
      </c>
      <c r="U5" s="22">
        <v>3.5777970894809361E-4</v>
      </c>
      <c r="V5" s="22">
        <v>3.4047599613979323E-4</v>
      </c>
      <c r="W5" s="22">
        <v>3.2393568242597664E-4</v>
      </c>
      <c r="X5" s="22">
        <v>3.0815876780664395E-4</v>
      </c>
      <c r="Y5" s="22">
        <v>2.9289078591696711E-4</v>
      </c>
      <c r="Z5" s="22">
        <v>2.7813173675694618E-4</v>
      </c>
      <c r="AA5" s="22">
        <v>2.6388162032658111E-4</v>
      </c>
      <c r="AB5" s="22">
        <v>2.50140436625872E-4</v>
      </c>
      <c r="AC5" s="22">
        <v>2.3690818565481878E-4</v>
      </c>
      <c r="AD5" s="22">
        <v>2.2418486741342141E-4</v>
      </c>
      <c r="AE5" s="22">
        <v>2.1171601553685197E-4</v>
      </c>
      <c r="AF5" s="22">
        <v>1.9965430984400729E-4</v>
      </c>
      <c r="AG5" s="22">
        <v>1.880506436078529E-4</v>
      </c>
      <c r="AH5" s="22">
        <v>1.7659965719059529E-4</v>
      </c>
    </row>
    <row r="6" spans="1:34" x14ac:dyDescent="0.25">
      <c r="A6" s="17" t="s">
        <v>0</v>
      </c>
      <c r="B6" s="17" t="s">
        <v>1</v>
      </c>
      <c r="D6" s="22">
        <v>1.1809582132098783E-3</v>
      </c>
      <c r="E6" s="22">
        <v>1.122997073911234E-3</v>
      </c>
      <c r="F6" s="22">
        <v>1.0672094773362889E-3</v>
      </c>
      <c r="G6" s="22">
        <v>1.0128709092438097E-3</v>
      </c>
      <c r="H6" s="22">
        <v>9.6215491235749609E-4</v>
      </c>
      <c r="I6" s="22">
        <v>9.150614866773474E-4</v>
      </c>
      <c r="J6" s="22">
        <v>8.7086611796213115E-4</v>
      </c>
      <c r="K6" s="22">
        <v>8.28119777729381E-4</v>
      </c>
      <c r="L6" s="22">
        <v>7.8827149446156306E-4</v>
      </c>
      <c r="M6" s="22">
        <v>7.5059675391744428E-4</v>
      </c>
      <c r="N6" s="22">
        <v>7.1509555609702456E-4</v>
      </c>
      <c r="O6" s="22">
        <v>6.8104338675907094E-4</v>
      </c>
      <c r="P6" s="22">
        <v>6.4916476014481659E-4</v>
      </c>
      <c r="Q6" s="22">
        <v>6.1873516201302835E-4</v>
      </c>
      <c r="R6" s="22">
        <v>5.8903007812247305E-4</v>
      </c>
      <c r="S6" s="22">
        <v>5.6149853695561702E-4</v>
      </c>
      <c r="T6" s="22">
        <v>5.3469151002999405E-4</v>
      </c>
      <c r="U6" s="22">
        <v>5.0933351158683707E-4</v>
      </c>
      <c r="V6" s="22">
        <v>4.8470002738491331E-4</v>
      </c>
      <c r="W6" s="22">
        <v>4.6115331454483902E-4</v>
      </c>
      <c r="X6" s="22">
        <v>4.3869337306661437E-4</v>
      </c>
      <c r="Y6" s="22">
        <v>4.1695794582962271E-4</v>
      </c>
      <c r="Z6" s="22">
        <v>3.9594703283386416E-4</v>
      </c>
      <c r="AA6" s="22">
        <v>3.7566063407933861E-4</v>
      </c>
      <c r="AB6" s="22">
        <v>3.5609874956604617E-4</v>
      </c>
      <c r="AC6" s="22">
        <v>3.3726137929398678E-4</v>
      </c>
      <c r="AD6" s="22">
        <v>3.191485232631604E-4</v>
      </c>
      <c r="AE6" s="22">
        <v>3.0139792435295053E-4</v>
      </c>
      <c r="AF6" s="22">
        <v>2.8422693683572716E-4</v>
      </c>
      <c r="AG6" s="22">
        <v>2.6770801213561355E-4</v>
      </c>
      <c r="AH6" s="22">
        <v>2.514064417078698E-4</v>
      </c>
    </row>
    <row r="7" spans="1:34" x14ac:dyDescent="0.25">
      <c r="A7" s="17" t="s">
        <v>1</v>
      </c>
      <c r="B7" s="17" t="s">
        <v>2</v>
      </c>
      <c r="D7" s="22">
        <v>1.4332362374304703E-3</v>
      </c>
      <c r="E7" s="22">
        <v>1.3628933546117972E-3</v>
      </c>
      <c r="F7" s="22">
        <v>1.295188329898824E-3</v>
      </c>
      <c r="G7" s="22">
        <v>1.2292418772563176E-3</v>
      </c>
      <c r="H7" s="22">
        <v>1.1676918547899784E-3</v>
      </c>
      <c r="I7" s="22">
        <v>1.1105382624998063E-3</v>
      </c>
      <c r="J7" s="22">
        <v>1.0569018143505677E-3</v>
      </c>
      <c r="K7" s="22">
        <v>1.0050239382717963E-3</v>
      </c>
      <c r="L7" s="22">
        <v>9.5666320633395834E-4</v>
      </c>
      <c r="M7" s="22">
        <v>9.1094033250182051E-4</v>
      </c>
      <c r="N7" s="22">
        <v>8.67855316775383E-4</v>
      </c>
      <c r="O7" s="22">
        <v>8.2652887311941237E-4</v>
      </c>
      <c r="P7" s="22">
        <v>7.8784028756914205E-4</v>
      </c>
      <c r="Q7" s="22">
        <v>7.509102740893385E-4</v>
      </c>
      <c r="R7" s="22">
        <v>7.1485954664476839E-4</v>
      </c>
      <c r="S7" s="22">
        <v>6.8144667730589859E-4</v>
      </c>
      <c r="T7" s="22">
        <v>6.4891309400226212E-4</v>
      </c>
      <c r="U7" s="22">
        <v>6.1813808276909243E-4</v>
      </c>
      <c r="V7" s="22">
        <v>5.8824235757115638E-4</v>
      </c>
      <c r="W7" s="22">
        <v>5.5966556142607023E-4</v>
      </c>
      <c r="X7" s="22">
        <v>5.3240769433383428E-4</v>
      </c>
      <c r="Y7" s="22">
        <v>5.0602911327683178E-4</v>
      </c>
      <c r="Z7" s="22">
        <v>4.8052981825506266E-4</v>
      </c>
      <c r="AA7" s="22">
        <v>4.5590980926852692E-4</v>
      </c>
      <c r="AB7" s="22">
        <v>4.3216908631722468E-4</v>
      </c>
      <c r="AC7" s="22">
        <v>4.0930764940115587E-4</v>
      </c>
      <c r="AD7" s="22">
        <v>3.873254985203204E-4</v>
      </c>
      <c r="AE7" s="22">
        <v>3.6578299065710164E-4</v>
      </c>
      <c r="AF7" s="22">
        <v>3.4494391162206967E-4</v>
      </c>
      <c r="AG7" s="22">
        <v>3.2489619001874778E-4</v>
      </c>
      <c r="AH7" s="22">
        <v>3.0511225422599585E-4</v>
      </c>
    </row>
    <row r="8" spans="1:34" x14ac:dyDescent="0.25">
      <c r="A8" s="17" t="s">
        <v>2</v>
      </c>
      <c r="B8" s="17" t="s">
        <v>3</v>
      </c>
      <c r="D8" s="22">
        <v>1.9802815723090855E-3</v>
      </c>
      <c r="E8" s="22">
        <v>1.8830898386988238E-3</v>
      </c>
      <c r="F8" s="22">
        <v>1.7895427950989468E-3</v>
      </c>
      <c r="G8" s="22">
        <v>1.6984255448393262E-3</v>
      </c>
      <c r="H8" s="22">
        <v>1.6133827779303471E-3</v>
      </c>
      <c r="I8" s="22">
        <v>1.5344144943720093E-3</v>
      </c>
      <c r="J8" s="22">
        <v>1.4603057974941847E-3</v>
      </c>
      <c r="K8" s="22">
        <v>1.3886268939566166E-3</v>
      </c>
      <c r="L8" s="22">
        <v>1.3218075770995616E-3</v>
      </c>
      <c r="M8" s="22">
        <v>1.2586329502528913E-3</v>
      </c>
      <c r="N8" s="22">
        <v>1.1991030134166059E-3</v>
      </c>
      <c r="O8" s="22">
        <v>1.142002869920577E-3</v>
      </c>
      <c r="P8" s="22">
        <v>1.088547416434933E-3</v>
      </c>
      <c r="Q8" s="22">
        <v>1.0375217562895455E-3</v>
      </c>
      <c r="R8" s="22">
        <v>9.8771099281428623E-4</v>
      </c>
      <c r="S8" s="22">
        <v>9.4154491934941192E-4</v>
      </c>
      <c r="T8" s="22">
        <v>8.9659374255466576E-4</v>
      </c>
      <c r="U8" s="22">
        <v>8.5407235910017613E-4</v>
      </c>
      <c r="V8" s="22">
        <v>8.1276587231581497E-4</v>
      </c>
      <c r="W8" s="22">
        <v>7.7328173053664595E-4</v>
      </c>
      <c r="X8" s="22">
        <v>7.3561993376266958E-4</v>
      </c>
      <c r="Y8" s="22">
        <v>6.9917303365882137E-4</v>
      </c>
      <c r="Z8" s="22">
        <v>6.6394103022510143E-4</v>
      </c>
      <c r="AA8" s="22">
        <v>6.2992392346150974E-4</v>
      </c>
      <c r="AB8" s="22">
        <v>5.9712171336804643E-4</v>
      </c>
      <c r="AC8" s="22">
        <v>5.6553439994471127E-4</v>
      </c>
      <c r="AD8" s="22">
        <v>5.3516198319150448E-4</v>
      </c>
      <c r="AE8" s="22">
        <v>5.0539701477336177E-4</v>
      </c>
      <c r="AF8" s="22">
        <v>4.7660396369132165E-4</v>
      </c>
      <c r="AG8" s="22">
        <v>4.4890431961239701E-4</v>
      </c>
      <c r="AH8" s="22">
        <v>4.2156914453451083E-4</v>
      </c>
    </row>
    <row r="9" spans="1:34" x14ac:dyDescent="0.25">
      <c r="A9" s="17" t="s">
        <v>3</v>
      </c>
      <c r="B9" s="17" t="s">
        <v>4</v>
      </c>
      <c r="D9" s="22">
        <v>2.7849509556912527E-3</v>
      </c>
      <c r="E9" s="22">
        <v>2.6482662462094736E-3</v>
      </c>
      <c r="F9" s="22">
        <v>2.5167072133332612E-3</v>
      </c>
      <c r="G9" s="22">
        <v>2.3885652981940927E-3</v>
      </c>
      <c r="H9" s="22">
        <v>2.2689661773975362E-3</v>
      </c>
      <c r="I9" s="22">
        <v>2.1579098509435903E-3</v>
      </c>
      <c r="J9" s="22">
        <v>2.0536877599637337E-3</v>
      </c>
      <c r="K9" s="22">
        <v>1.9528827867209217E-3</v>
      </c>
      <c r="L9" s="22">
        <v>1.8589120489521985E-3</v>
      </c>
      <c r="M9" s="22">
        <v>1.7700669877890418E-3</v>
      </c>
      <c r="N9" s="22">
        <v>1.6863476032314519E-3</v>
      </c>
      <c r="O9" s="22">
        <v>1.6060453364109065E-3</v>
      </c>
      <c r="P9" s="22">
        <v>1.5308687461959281E-3</v>
      </c>
      <c r="Q9" s="22">
        <v>1.4591092737179939E-3</v>
      </c>
      <c r="R9" s="22">
        <v>1.3890583601085819E-3</v>
      </c>
      <c r="S9" s="22">
        <v>1.3241331231047368E-3</v>
      </c>
      <c r="T9" s="22">
        <v>1.2609164449694139E-3</v>
      </c>
      <c r="U9" s="22">
        <v>1.2011168845711354E-3</v>
      </c>
      <c r="V9" s="22">
        <v>1.1430258830413794E-3</v>
      </c>
      <c r="W9" s="22">
        <v>1.0874977198144064E-3</v>
      </c>
      <c r="X9" s="22">
        <v>1.034532394890217E-3</v>
      </c>
      <c r="Y9" s="22">
        <v>9.8327562883454979E-4</v>
      </c>
      <c r="Z9" s="22">
        <v>9.3372742164740479E-4</v>
      </c>
      <c r="AA9" s="22">
        <v>8.8588777332878189E-4</v>
      </c>
      <c r="AB9" s="22">
        <v>8.3975668387868154E-4</v>
      </c>
      <c r="AC9" s="22">
        <v>7.9533415329710328E-4</v>
      </c>
      <c r="AD9" s="22">
        <v>7.5262018158404724E-4</v>
      </c>
      <c r="AE9" s="22">
        <v>7.107604893052523E-4</v>
      </c>
      <c r="AF9" s="22">
        <v>6.702676441212752E-4</v>
      </c>
      <c r="AG9" s="22">
        <v>6.3131250191896806E-4</v>
      </c>
      <c r="AH9" s="22">
        <v>5.9286992737721765E-4</v>
      </c>
    </row>
    <row r="10" spans="1:34" x14ac:dyDescent="0.25">
      <c r="A10" s="17" t="s">
        <v>4</v>
      </c>
      <c r="B10" s="17" t="s">
        <v>5</v>
      </c>
      <c r="D10" s="22">
        <v>4.0670041217983552E-3</v>
      </c>
      <c r="E10" s="22">
        <v>3.8673965575383132E-3</v>
      </c>
      <c r="F10" s="22">
        <v>3.6752742769380229E-3</v>
      </c>
      <c r="G10" s="22">
        <v>3.4881421854442334E-3</v>
      </c>
      <c r="H10" s="22">
        <v>3.3134855667166967E-3</v>
      </c>
      <c r="I10" s="22">
        <v>3.1513044207554125E-3</v>
      </c>
      <c r="J10" s="22">
        <v>2.9991036530071305E-3</v>
      </c>
      <c r="K10" s="22">
        <v>2.8518930743653497E-3</v>
      </c>
      <c r="L10" s="22">
        <v>2.7146628739365712E-3</v>
      </c>
      <c r="M10" s="22">
        <v>2.5849179571675435E-3</v>
      </c>
      <c r="N10" s="22">
        <v>2.4626583240582676E-3</v>
      </c>
      <c r="O10" s="22">
        <v>2.3453888800554928E-3</v>
      </c>
      <c r="P10" s="22">
        <v>2.2356047197124702E-3</v>
      </c>
      <c r="Q10" s="22">
        <v>2.1308107484759478E-3</v>
      </c>
      <c r="R10" s="22">
        <v>2.0285118717926764E-3</v>
      </c>
      <c r="S10" s="22">
        <v>1.9336982787691566E-3</v>
      </c>
      <c r="T10" s="22">
        <v>1.8413797802988871E-3</v>
      </c>
      <c r="U10" s="22">
        <v>1.7540514709351188E-3</v>
      </c>
      <c r="V10" s="22">
        <v>1.669218256124601E-3</v>
      </c>
      <c r="W10" s="22">
        <v>1.5881276831439589E-3</v>
      </c>
      <c r="X10" s="22">
        <v>1.5107797519931928E-3</v>
      </c>
      <c r="Y10" s="22">
        <v>1.4359269153956769E-3</v>
      </c>
      <c r="Z10" s="22">
        <v>1.3635691733514116E-3</v>
      </c>
      <c r="AA10" s="22">
        <v>1.2937065258603968E-3</v>
      </c>
      <c r="AB10" s="22">
        <v>1.2263389729226329E-3</v>
      </c>
      <c r="AC10" s="22">
        <v>1.1614665145381192E-3</v>
      </c>
      <c r="AD10" s="22">
        <v>1.099089150706856E-3</v>
      </c>
      <c r="AE10" s="22">
        <v>1.0379593341522182E-3</v>
      </c>
      <c r="AF10" s="22">
        <v>9.7882559324018073E-4</v>
      </c>
      <c r="AG10" s="22">
        <v>9.2193743742606884E-4</v>
      </c>
      <c r="AH10" s="22">
        <v>8.6579780997793202E-4</v>
      </c>
    </row>
    <row r="11" spans="1:34" x14ac:dyDescent="0.25">
      <c r="A11" s="17" t="s">
        <v>5</v>
      </c>
      <c r="B11" s="17" t="s">
        <v>6</v>
      </c>
      <c r="D11" s="22">
        <v>7.1554373715800772E-3</v>
      </c>
      <c r="E11" s="22">
        <v>6.8042502613184794E-3</v>
      </c>
      <c r="F11" s="22">
        <v>6.4662326676916898E-3</v>
      </c>
      <c r="G11" s="22">
        <v>6.1369947518214408E-3</v>
      </c>
      <c r="H11" s="22">
        <v>5.8297060303425423E-3</v>
      </c>
      <c r="I11" s="22">
        <v>5.5443665032549926E-3</v>
      </c>
      <c r="J11" s="22">
        <v>5.2765863316805231E-3</v>
      </c>
      <c r="K11" s="22">
        <v>5.0175858378625942E-3</v>
      </c>
      <c r="L11" s="22">
        <v>4.7761446995577455E-3</v>
      </c>
      <c r="M11" s="22">
        <v>4.5478730778877059E-3</v>
      </c>
      <c r="N11" s="22">
        <v>4.3327709728524762E-3</v>
      </c>
      <c r="O11" s="22">
        <v>4.1264485455737871E-3</v>
      </c>
      <c r="P11" s="22">
        <v>3.933295634929908E-3</v>
      </c>
      <c r="Q11" s="22">
        <v>3.7489224020425681E-3</v>
      </c>
      <c r="R11" s="22">
        <v>3.5689390080334985E-3</v>
      </c>
      <c r="S11" s="22">
        <v>3.4021251306592397E-3</v>
      </c>
      <c r="T11" s="22">
        <v>3.2397010921632499E-3</v>
      </c>
      <c r="U11" s="22">
        <v>3.0860567314238002E-3</v>
      </c>
      <c r="V11" s="22">
        <v>2.9368022095626212E-3</v>
      </c>
      <c r="W11" s="22">
        <v>2.7941324460188459E-3</v>
      </c>
      <c r="X11" s="22">
        <v>2.6580474407924769E-3</v>
      </c>
      <c r="Y11" s="22">
        <v>2.5263522744443773E-3</v>
      </c>
      <c r="Z11" s="22">
        <v>2.3990469469745476E-3</v>
      </c>
      <c r="AA11" s="22">
        <v>2.2761314583829876E-3</v>
      </c>
      <c r="AB11" s="22">
        <v>2.1576058086696984E-3</v>
      </c>
      <c r="AC11" s="22">
        <v>2.0434699978346786E-3</v>
      </c>
      <c r="AD11" s="22">
        <v>1.9337240258779291E-3</v>
      </c>
      <c r="AE11" s="22">
        <v>1.8261729733603143E-3</v>
      </c>
      <c r="AF11" s="22">
        <v>1.7221337919453156E-3</v>
      </c>
      <c r="AG11" s="22">
        <v>1.6220454655207599E-3</v>
      </c>
      <c r="AH11" s="22">
        <v>1.5232740907596852E-3</v>
      </c>
    </row>
    <row r="12" spans="1:34" x14ac:dyDescent="0.25">
      <c r="A12" s="17" t="s">
        <v>6</v>
      </c>
      <c r="B12" s="17" t="s">
        <v>10</v>
      </c>
      <c r="D12" s="22">
        <v>1.1855698269780824E-2</v>
      </c>
      <c r="E12" s="22">
        <v>1.127382350807379E-2</v>
      </c>
      <c r="F12" s="22">
        <v>1.0713769049930769E-2</v>
      </c>
      <c r="G12" s="22">
        <v>1.0168261460830424E-2</v>
      </c>
      <c r="H12" s="22">
        <v>9.65912104433677E-3</v>
      </c>
      <c r="I12" s="22">
        <v>9.1863478004498029E-3</v>
      </c>
      <c r="J12" s="22">
        <v>8.7426682946481898E-3</v>
      </c>
      <c r="K12" s="22">
        <v>8.3135356578892539E-3</v>
      </c>
      <c r="L12" s="22">
        <v>7.9134967592156668E-3</v>
      </c>
      <c r="M12" s="22">
        <v>7.5352781641060945E-3</v>
      </c>
      <c r="N12" s="22">
        <v>7.178879872560536E-3</v>
      </c>
      <c r="O12" s="22">
        <v>6.8370284500576528E-3</v>
      </c>
      <c r="P12" s="22">
        <v>6.5169973311187844E-3</v>
      </c>
      <c r="Q12" s="22">
        <v>6.2115130812225913E-3</v>
      </c>
      <c r="R12" s="22">
        <v>5.9133022658477358E-3</v>
      </c>
      <c r="S12" s="22">
        <v>5.6369117540368951E-3</v>
      </c>
      <c r="T12" s="22">
        <v>5.3677946767473911E-3</v>
      </c>
      <c r="U12" s="22">
        <v>5.1132244685005634E-3</v>
      </c>
      <c r="V12" s="22">
        <v>4.8659276947750751E-3</v>
      </c>
      <c r="W12" s="22">
        <v>4.6295410728315915E-3</v>
      </c>
      <c r="X12" s="22">
        <v>4.4040646026701161E-3</v>
      </c>
      <c r="Y12" s="22">
        <v>4.1858615670299784E-3</v>
      </c>
      <c r="Z12" s="22">
        <v>3.9749319659111784E-3</v>
      </c>
      <c r="AA12" s="22">
        <v>3.7712757993137161E-3</v>
      </c>
      <c r="AB12" s="22">
        <v>3.5748930672375922E-3</v>
      </c>
      <c r="AC12" s="22">
        <v>3.3857837696828061E-3</v>
      </c>
      <c r="AD12" s="22">
        <v>3.203947906649358E-3</v>
      </c>
      <c r="AE12" s="22">
        <v>3.0257487608765783E-3</v>
      </c>
      <c r="AF12" s="22">
        <v>2.8533683627208696E-3</v>
      </c>
      <c r="AG12" s="22">
        <v>2.6875340556343648E-3</v>
      </c>
      <c r="AH12" s="22">
        <v>2.5238817789042614E-3</v>
      </c>
    </row>
    <row r="13" spans="1:34" x14ac:dyDescent="0.25">
      <c r="A13" s="17" t="s">
        <v>10</v>
      </c>
      <c r="B13" s="17" t="s">
        <v>11</v>
      </c>
      <c r="D13" s="22">
        <v>1.9339550074511658E-2</v>
      </c>
      <c r="E13" s="22">
        <v>1.8390369702756485E-2</v>
      </c>
      <c r="F13" s="22">
        <v>1.7476783594942133E-2</v>
      </c>
      <c r="G13" s="22">
        <v>1.6586926996421655E-2</v>
      </c>
      <c r="H13" s="22">
        <v>1.575639417113588E-2</v>
      </c>
      <c r="I13" s="22">
        <v>1.4985185119084801E-2</v>
      </c>
      <c r="J13" s="22">
        <v>1.4261435085621482E-2</v>
      </c>
      <c r="K13" s="22">
        <v>1.3561414561452042E-2</v>
      </c>
      <c r="L13" s="22">
        <v>1.290885305587036E-2</v>
      </c>
      <c r="M13" s="22">
        <v>1.2291885814229497E-2</v>
      </c>
      <c r="N13" s="22">
        <v>1.1710512836529453E-2</v>
      </c>
      <c r="O13" s="22">
        <v>1.1152869368123288E-2</v>
      </c>
      <c r="P13" s="22">
        <v>1.0630820163657944E-2</v>
      </c>
      <c r="Q13" s="22">
        <v>1.0132500468486476E-2</v>
      </c>
      <c r="R13" s="22">
        <v>9.6460455279619491E-3</v>
      </c>
      <c r="S13" s="22">
        <v>9.1951848513782426E-3</v>
      </c>
      <c r="T13" s="22">
        <v>8.756188929441475E-3</v>
      </c>
      <c r="U13" s="22">
        <v>8.3409225167985872E-3</v>
      </c>
      <c r="V13" s="22">
        <v>7.9375208588026384E-3</v>
      </c>
      <c r="W13" s="22">
        <v>7.5519163327770981E-3</v>
      </c>
      <c r="X13" s="22">
        <v>7.1841089387219698E-3</v>
      </c>
      <c r="Y13" s="22">
        <v>6.8281662993137796E-3</v>
      </c>
      <c r="Z13" s="22">
        <v>6.4840884145525284E-3</v>
      </c>
      <c r="AA13" s="22">
        <v>6.151875284438218E-3</v>
      </c>
      <c r="AB13" s="22">
        <v>5.8315269089708466E-3</v>
      </c>
      <c r="AC13" s="22">
        <v>5.5230432881504159E-3</v>
      </c>
      <c r="AD13" s="22">
        <v>5.2264244219769242E-3</v>
      </c>
      <c r="AE13" s="22">
        <v>4.9357379331269021E-3</v>
      </c>
      <c r="AF13" s="22">
        <v>4.654543247994432E-3</v>
      </c>
      <c r="AG13" s="22">
        <v>4.384026842044207E-3</v>
      </c>
      <c r="AH13" s="22">
        <v>4.1170698624880646E-3</v>
      </c>
    </row>
    <row r="14" spans="1:34" x14ac:dyDescent="0.25">
      <c r="A14" s="17" t="s">
        <v>11</v>
      </c>
      <c r="B14" s="17" t="s">
        <v>12</v>
      </c>
      <c r="D14" s="22">
        <v>3.0203235770815372E-2</v>
      </c>
      <c r="E14" s="22">
        <v>2.8720868371020756E-2</v>
      </c>
      <c r="F14" s="22">
        <v>2.7294089748718435E-2</v>
      </c>
      <c r="G14" s="22">
        <v>2.5904370311410976E-2</v>
      </c>
      <c r="H14" s="22">
        <v>2.4607298836590685E-2</v>
      </c>
      <c r="I14" s="22">
        <v>2.3402875324257555E-2</v>
      </c>
      <c r="J14" s="22">
        <v>2.2272570181914159E-2</v>
      </c>
      <c r="K14" s="22">
        <v>2.1179324224565629E-2</v>
      </c>
      <c r="L14" s="22">
        <v>2.0160196637206827E-2</v>
      </c>
      <c r="M14" s="22">
        <v>1.9196657827340324E-2</v>
      </c>
      <c r="N14" s="22">
        <v>1.8288707794966119E-2</v>
      </c>
      <c r="O14" s="22">
        <v>1.7417816947586779E-2</v>
      </c>
      <c r="P14" s="22">
        <v>1.6602514877699742E-2</v>
      </c>
      <c r="Q14" s="22">
        <v>1.5824271992807563E-2</v>
      </c>
      <c r="R14" s="22">
        <v>1.506455870041282E-2</v>
      </c>
      <c r="S14" s="22">
        <v>1.4360434185510378E-2</v>
      </c>
      <c r="T14" s="22">
        <v>1.3674839263105365E-2</v>
      </c>
      <c r="U14" s="22">
        <v>1.3026303525695219E-2</v>
      </c>
      <c r="V14" s="22">
        <v>1.2396297380782507E-2</v>
      </c>
      <c r="W14" s="22">
        <v>1.1794085624615942E-2</v>
      </c>
      <c r="X14" s="22">
        <v>1.1219668257195527E-2</v>
      </c>
      <c r="Y14" s="22">
        <v>1.0663780482272544E-2</v>
      </c>
      <c r="Z14" s="22">
        <v>1.0126422299846996E-2</v>
      </c>
      <c r="AA14" s="22">
        <v>9.6075937099188782E-3</v>
      </c>
      <c r="AB14" s="22">
        <v>9.1072947124881936E-3</v>
      </c>
      <c r="AC14" s="22">
        <v>8.6255253075549435E-3</v>
      </c>
      <c r="AD14" s="22">
        <v>8.1622854951191245E-3</v>
      </c>
      <c r="AE14" s="22">
        <v>7.708310478932022E-3</v>
      </c>
      <c r="AF14" s="22">
        <v>7.269159136742866E-3</v>
      </c>
      <c r="AG14" s="22">
        <v>6.8466844278013989E-3</v>
      </c>
      <c r="AH14" s="22">
        <v>6.429768596609162E-3</v>
      </c>
    </row>
    <row r="15" spans="1:34" x14ac:dyDescent="0.25">
      <c r="A15" s="17" t="s">
        <v>12</v>
      </c>
      <c r="B15" s="17" t="s">
        <v>13</v>
      </c>
      <c r="D15" s="22">
        <v>4.6966727423721134E-2</v>
      </c>
      <c r="E15" s="22">
        <v>4.4661611967342182E-2</v>
      </c>
      <c r="F15" s="22">
        <v>4.2442938340577448E-2</v>
      </c>
      <c r="G15" s="22">
        <v>4.028189260022217E-2</v>
      </c>
      <c r="H15" s="22">
        <v>3.8264916575890595E-2</v>
      </c>
      <c r="I15" s="22">
        <v>3.6392010267582695E-2</v>
      </c>
      <c r="J15" s="22">
        <v>3.4634359732093743E-2</v>
      </c>
      <c r="K15" s="22">
        <v>3.293433708301427E-2</v>
      </c>
      <c r="L15" s="22">
        <v>3.1349570206753739E-2</v>
      </c>
      <c r="M15" s="22">
        <v>2.9851245160107422E-2</v>
      </c>
      <c r="N15" s="22">
        <v>2.8439361943075312E-2</v>
      </c>
      <c r="O15" s="22">
        <v>2.7085106612452677E-2</v>
      </c>
      <c r="P15" s="22">
        <v>2.5817293111444255E-2</v>
      </c>
      <c r="Q15" s="22">
        <v>2.4607107496845304E-2</v>
      </c>
      <c r="R15" s="22">
        <v>2.3425735825451093E-2</v>
      </c>
      <c r="S15" s="22">
        <v>2.2330805983671091E-2</v>
      </c>
      <c r="T15" s="22">
        <v>2.1264690085095826E-2</v>
      </c>
      <c r="U15" s="22">
        <v>2.0256202072930034E-2</v>
      </c>
      <c r="V15" s="22">
        <v>1.9276528003968982E-2</v>
      </c>
      <c r="W15" s="22">
        <v>1.8340074849815032E-2</v>
      </c>
      <c r="X15" s="22">
        <v>1.744684261046819E-2</v>
      </c>
      <c r="Y15" s="22">
        <v>1.6582424314326081E-2</v>
      </c>
      <c r="Z15" s="22">
        <v>1.574681996138871E-2</v>
      </c>
      <c r="AA15" s="22">
        <v>1.4940029551656077E-2</v>
      </c>
      <c r="AB15" s="22">
        <v>1.4162053085128183E-2</v>
      </c>
      <c r="AC15" s="22">
        <v>1.3412890561805025E-2</v>
      </c>
      <c r="AD15" s="22">
        <v>1.2692541981686602E-2</v>
      </c>
      <c r="AE15" s="22">
        <v>1.1986600373170547E-2</v>
      </c>
      <c r="AF15" s="22">
        <v>1.1303709919218282E-2</v>
      </c>
      <c r="AG15" s="22">
        <v>1.0646752014150282E-2</v>
      </c>
      <c r="AH15" s="22">
        <v>9.9984382920437001E-3</v>
      </c>
    </row>
    <row r="16" spans="1:34" x14ac:dyDescent="0.25">
      <c r="A16" s="17" t="s">
        <v>13</v>
      </c>
      <c r="B16" s="17" t="s">
        <v>14</v>
      </c>
      <c r="D16" s="22">
        <v>7.4168169104676884E-2</v>
      </c>
      <c r="E16" s="22">
        <v>7.0528013565797049E-2</v>
      </c>
      <c r="F16" s="22">
        <v>6.7024363859625194E-2</v>
      </c>
      <c r="G16" s="22">
        <v>6.3611718041925322E-2</v>
      </c>
      <c r="H16" s="22">
        <v>6.0426581945405469E-2</v>
      </c>
      <c r="I16" s="22">
        <v>5.7468955570065587E-2</v>
      </c>
      <c r="J16" s="22">
        <v>5.4693336971669705E-2</v>
      </c>
      <c r="K16" s="22">
        <v>5.200872226174582E-2</v>
      </c>
      <c r="L16" s="22">
        <v>4.9506115328765928E-2</v>
      </c>
      <c r="M16" s="22">
        <v>4.7140014228494023E-2</v>
      </c>
      <c r="N16" s="22">
        <v>4.4910418960930114E-2</v>
      </c>
      <c r="O16" s="22">
        <v>4.2771827581838201E-2</v>
      </c>
      <c r="P16" s="22">
        <v>4.076974203545429E-2</v>
      </c>
      <c r="Q16" s="22">
        <v>3.8858660377542369E-2</v>
      </c>
      <c r="R16" s="22">
        <v>3.6993080663866446E-2</v>
      </c>
      <c r="S16" s="22">
        <v>3.5264006782898524E-2</v>
      </c>
      <c r="T16" s="22">
        <v>3.3580434846166594E-2</v>
      </c>
      <c r="U16" s="22">
        <v>3.1987866797906654E-2</v>
      </c>
      <c r="V16" s="22">
        <v>3.0440800693882726E-2</v>
      </c>
      <c r="W16" s="22">
        <v>2.8961987506212782E-2</v>
      </c>
      <c r="X16" s="22">
        <v>2.7551427234896845E-2</v>
      </c>
      <c r="Y16" s="22">
        <v>2.6186368907816903E-2</v>
      </c>
      <c r="Z16" s="22">
        <v>2.4866812524972956E-2</v>
      </c>
      <c r="AA16" s="22">
        <v>2.3592758086365007E-2</v>
      </c>
      <c r="AB16" s="22">
        <v>2.236420559199306E-2</v>
      </c>
      <c r="AC16" s="22">
        <v>2.1181155041857112E-2</v>
      </c>
      <c r="AD16" s="22">
        <v>2.0043606435957158E-2</v>
      </c>
      <c r="AE16" s="22">
        <v>1.8928808802175207E-2</v>
      </c>
      <c r="AF16" s="22">
        <v>1.7850412723782051E-2</v>
      </c>
      <c r="AG16" s="22">
        <v>1.6812968395201296E-2</v>
      </c>
      <c r="AH16" s="22">
        <v>1.5789174649891338E-2</v>
      </c>
    </row>
    <row r="17" spans="1:34" x14ac:dyDescent="0.25">
      <c r="A17" s="17" t="s">
        <v>14</v>
      </c>
      <c r="B17" s="17" t="s">
        <v>15</v>
      </c>
      <c r="D17" s="22">
        <v>0.12308471844158213</v>
      </c>
      <c r="E17" s="22">
        <v>0.11704375066530817</v>
      </c>
      <c r="F17" s="22">
        <v>0.11122931918064448</v>
      </c>
      <c r="G17" s="22">
        <v>0.10556591189038762</v>
      </c>
      <c r="H17" s="22">
        <v>0.10028006508614791</v>
      </c>
      <c r="I17" s="22">
        <v>9.5371778767925297E-2</v>
      </c>
      <c r="J17" s="22">
        <v>9.0765540838516401E-2</v>
      </c>
      <c r="K17" s="22">
        <v>8.6310327103514342E-2</v>
      </c>
      <c r="L17" s="22">
        <v>8.2157161757326E-2</v>
      </c>
      <c r="M17" s="22">
        <v>7.8230532702747907E-2</v>
      </c>
      <c r="N17" s="22">
        <v>7.4530439939780105E-2</v>
      </c>
      <c r="O17" s="22">
        <v>7.098137137121914E-2</v>
      </c>
      <c r="P17" s="22">
        <v>6.7658839094268466E-2</v>
      </c>
      <c r="Q17" s="22">
        <v>6.448733101172463E-2</v>
      </c>
      <c r="R17" s="22">
        <v>6.1391335026384213E-2</v>
      </c>
      <c r="S17" s="22">
        <v>5.8521875332654086E-2</v>
      </c>
      <c r="T17" s="22">
        <v>5.5727927736127371E-2</v>
      </c>
      <c r="U17" s="22">
        <v>5.3085004334007507E-2</v>
      </c>
      <c r="V17" s="22">
        <v>5.0517593029091076E-2</v>
      </c>
      <c r="W17" s="22">
        <v>4.806344986997977E-2</v>
      </c>
      <c r="X17" s="22">
        <v>4.5722574856673616E-2</v>
      </c>
      <c r="Y17" s="22">
        <v>4.3457211940570874E-2</v>
      </c>
      <c r="Z17" s="22">
        <v>4.1267361121671557E-2</v>
      </c>
      <c r="AA17" s="22">
        <v>3.9153022399975666E-2</v>
      </c>
      <c r="AB17" s="22">
        <v>3.7114195775483201E-2</v>
      </c>
      <c r="AC17" s="22">
        <v>3.5150881248194162E-2</v>
      </c>
      <c r="AD17" s="22">
        <v>3.3263078818108548E-2</v>
      </c>
      <c r="AE17" s="22">
        <v>3.141303243662464E-2</v>
      </c>
      <c r="AF17" s="22">
        <v>2.9623395732903478E-2</v>
      </c>
      <c r="AG17" s="22">
        <v>2.7901719916665398E-2</v>
      </c>
      <c r="AH17" s="22">
        <v>2.6202697729588342E-2</v>
      </c>
    </row>
    <row r="18" spans="1:34" x14ac:dyDescent="0.25">
      <c r="A18" s="17" t="s">
        <v>15</v>
      </c>
      <c r="B18" s="17" t="s">
        <v>16</v>
      </c>
      <c r="D18" s="22">
        <v>0.22970547639484978</v>
      </c>
      <c r="E18" s="22">
        <v>0.21843158798283263</v>
      </c>
      <c r="F18" s="22">
        <v>0.20758047038626612</v>
      </c>
      <c r="G18" s="22">
        <v>0.1970112</v>
      </c>
      <c r="H18" s="22">
        <v>0.18714654763948499</v>
      </c>
      <c r="I18" s="22">
        <v>0.17798651330472101</v>
      </c>
      <c r="J18" s="22">
        <v>0.16939017339055795</v>
      </c>
      <c r="K18" s="22">
        <v>0.16107568068669528</v>
      </c>
      <c r="L18" s="22">
        <v>0.1533248824034335</v>
      </c>
      <c r="M18" s="22">
        <v>0.14599685493562234</v>
      </c>
      <c r="N18" s="22">
        <v>0.13909159828326181</v>
      </c>
      <c r="O18" s="22">
        <v>0.13246818884120171</v>
      </c>
      <c r="P18" s="22">
        <v>0.12626755021459229</v>
      </c>
      <c r="Q18" s="22">
        <v>0.12034875879828326</v>
      </c>
      <c r="R18" s="22">
        <v>0.11457089098712446</v>
      </c>
      <c r="S18" s="22">
        <v>0.10921579399141632</v>
      </c>
      <c r="T18" s="22">
        <v>0.10400162060085837</v>
      </c>
      <c r="U18" s="22">
        <v>9.9069294420600862E-2</v>
      </c>
      <c r="V18" s="22">
        <v>9.4277891845493567E-2</v>
      </c>
      <c r="W18" s="22">
        <v>8.9697874678111592E-2</v>
      </c>
      <c r="X18" s="22">
        <v>8.5329242918454951E-2</v>
      </c>
      <c r="Y18" s="22">
        <v>8.1101534763948505E-2</v>
      </c>
      <c r="Z18" s="22">
        <v>7.7014750214592281E-2</v>
      </c>
      <c r="AA18" s="22">
        <v>7.3068889270386267E-2</v>
      </c>
      <c r="AB18" s="22">
        <v>6.9263951931330475E-2</v>
      </c>
      <c r="AC18" s="22">
        <v>6.5599938197424892E-2</v>
      </c>
      <c r="AD18" s="22">
        <v>6.2076848068669532E-2</v>
      </c>
      <c r="AE18" s="22">
        <v>5.862421974248927E-2</v>
      </c>
      <c r="AF18" s="22">
        <v>5.5284330300429181E-2</v>
      </c>
      <c r="AG18" s="22">
        <v>5.2071272103004294E-2</v>
      </c>
      <c r="AH18" s="22">
        <v>4.8900490987124463E-2</v>
      </c>
    </row>
    <row r="19" spans="1:34" x14ac:dyDescent="0.25">
      <c r="A19" s="17" t="s">
        <v>16</v>
      </c>
      <c r="B19" s="17" t="s">
        <v>17</v>
      </c>
      <c r="D19" s="22">
        <v>0.4495353938852002</v>
      </c>
      <c r="E19" s="22">
        <v>0.42747230706874867</v>
      </c>
      <c r="F19" s="22">
        <v>0.40623658600791407</v>
      </c>
      <c r="G19" s="22">
        <v>0.38555244211749073</v>
      </c>
      <c r="H19" s="22">
        <v>0.36624724115309565</v>
      </c>
      <c r="I19" s="22">
        <v>0.34832098311472875</v>
      </c>
      <c r="J19" s="22">
        <v>0.33149787941718445</v>
      </c>
      <c r="K19" s="22">
        <v>0.31522635289005146</v>
      </c>
      <c r="L19" s="22">
        <v>0.30005798070374101</v>
      </c>
      <c r="M19" s="22">
        <v>0.28571697427304754</v>
      </c>
      <c r="N19" s="22">
        <v>0.27220333359797094</v>
      </c>
      <c r="O19" s="22">
        <v>0.25924127009330561</v>
      </c>
      <c r="P19" s="22">
        <v>0.24710657234425731</v>
      </c>
      <c r="Q19" s="22">
        <v>0.23552345176562023</v>
      </c>
      <c r="R19" s="22">
        <v>0.2242161197721888</v>
      </c>
      <c r="S19" s="22">
        <v>0.21373615353437433</v>
      </c>
      <c r="T19" s="22">
        <v>0.2035319758817655</v>
      </c>
      <c r="U19" s="22">
        <v>0.19387937539956793</v>
      </c>
      <c r="V19" s="22">
        <v>0.18450256350257604</v>
      </c>
      <c r="W19" s="22">
        <v>0.1755394344833926</v>
      </c>
      <c r="X19" s="22">
        <v>0.16698998834201764</v>
      </c>
      <c r="Y19" s="22">
        <v>0.15871633078584829</v>
      </c>
      <c r="Z19" s="22">
        <v>0.1507184618148846</v>
      </c>
      <c r="AA19" s="22">
        <v>0.14299638142912657</v>
      </c>
      <c r="AB19" s="22">
        <v>0.13555008962857418</v>
      </c>
      <c r="AC19" s="22">
        <v>0.12837958641322744</v>
      </c>
      <c r="AD19" s="22">
        <v>0.12148487178308633</v>
      </c>
      <c r="AE19" s="22">
        <v>0.11472805144554803</v>
      </c>
      <c r="AF19" s="22">
        <v>0.10819186197617425</v>
      </c>
      <c r="AG19" s="22">
        <v>0.10190388223348557</v>
      </c>
      <c r="AH19" s="22">
        <v>9.5698639066358573E-2</v>
      </c>
    </row>
    <row r="20" spans="1:34" x14ac:dyDescent="0.25">
      <c r="A20" s="17" t="s">
        <v>17</v>
      </c>
      <c r="B20" s="17" t="s">
        <v>18</v>
      </c>
      <c r="D20" s="22">
        <v>0.79166344102029673</v>
      </c>
      <c r="E20" s="22">
        <v>0.7528087936082577</v>
      </c>
      <c r="F20" s="22">
        <v>0.71541119547417009</v>
      </c>
      <c r="G20" s="22">
        <v>0.67898496352538329</v>
      </c>
      <c r="H20" s="22">
        <v>0.64498714703984916</v>
      </c>
      <c r="I20" s="22">
        <v>0.61341774601756727</v>
      </c>
      <c r="J20" s="22">
        <v>0.58379107736588753</v>
      </c>
      <c r="K20" s="22">
        <v>0.55513577489950872</v>
      </c>
      <c r="L20" s="22">
        <v>0.52842320480373184</v>
      </c>
      <c r="M20" s="22">
        <v>0.50316768398590639</v>
      </c>
      <c r="N20" s="22">
        <v>0.47936921244603248</v>
      </c>
      <c r="O20" s="22">
        <v>0.45654210709145948</v>
      </c>
      <c r="P20" s="22">
        <v>0.43517205101483797</v>
      </c>
      <c r="Q20" s="22">
        <v>0.41477336112351743</v>
      </c>
      <c r="R20" s="22">
        <v>0.3948603543248474</v>
      </c>
      <c r="S20" s="22">
        <v>0.37640439680412885</v>
      </c>
      <c r="T20" s="22">
        <v>0.35843412237606076</v>
      </c>
      <c r="U20" s="22">
        <v>0.34143521413329364</v>
      </c>
      <c r="V20" s="22">
        <v>0.32492198898317703</v>
      </c>
      <c r="W20" s="22">
        <v>0.30913728847203609</v>
      </c>
      <c r="X20" s="22">
        <v>0.29408111259987102</v>
      </c>
      <c r="Y20" s="22">
        <v>0.2795106198203563</v>
      </c>
      <c r="Z20" s="22">
        <v>0.26542581013349215</v>
      </c>
      <c r="AA20" s="22">
        <v>0.25182668353927845</v>
      </c>
      <c r="AB20" s="22">
        <v>0.23871324003771524</v>
      </c>
      <c r="AC20" s="22">
        <v>0.22608547962880254</v>
      </c>
      <c r="AD20" s="22">
        <v>0.21394340231254033</v>
      </c>
      <c r="AE20" s="22">
        <v>0.20204416654260335</v>
      </c>
      <c r="AF20" s="22">
        <v>0.19053347724678676</v>
      </c>
      <c r="AG20" s="22">
        <v>0.17945990273435561</v>
      </c>
      <c r="AH20" s="22">
        <v>0.1685320331497196</v>
      </c>
    </row>
    <row r="21" spans="1:34" x14ac:dyDescent="0.25">
      <c r="A21" s="17" t="s">
        <v>18</v>
      </c>
      <c r="B21" s="17" t="s">
        <v>19</v>
      </c>
      <c r="D21" s="22">
        <v>0.95</v>
      </c>
      <c r="E21" s="22">
        <v>0.95</v>
      </c>
      <c r="F21" s="22">
        <v>0.95</v>
      </c>
      <c r="G21" s="22">
        <v>0.95</v>
      </c>
      <c r="H21" s="22">
        <v>0.94084127888182512</v>
      </c>
      <c r="I21" s="22">
        <v>0.89479106568354283</v>
      </c>
      <c r="J21" s="22">
        <v>0.85157471175900123</v>
      </c>
      <c r="K21" s="22">
        <v>0.80977528747132987</v>
      </c>
      <c r="L21" s="22">
        <v>0.77080972245739887</v>
      </c>
      <c r="M21" s="22">
        <v>0.73396955189877322</v>
      </c>
      <c r="N21" s="22">
        <v>0.69925477579545281</v>
      </c>
      <c r="O21" s="22">
        <v>0.66595692932900263</v>
      </c>
      <c r="P21" s="22">
        <v>0.63478447731785792</v>
      </c>
      <c r="Q21" s="22">
        <v>0.60502895494358322</v>
      </c>
      <c r="R21" s="22">
        <v>0.57598189738774375</v>
      </c>
      <c r="S21" s="22">
        <v>0.54906023428720963</v>
      </c>
      <c r="T21" s="22">
        <v>0.52284703600511062</v>
      </c>
      <c r="U21" s="22">
        <v>0.49805076735988174</v>
      </c>
      <c r="V21" s="22">
        <v>0.47396296353308809</v>
      </c>
      <c r="W21" s="22">
        <v>0.450937856933947</v>
      </c>
      <c r="X21" s="22">
        <v>0.42897544756245864</v>
      </c>
      <c r="Y21" s="22">
        <v>0.40772150300940535</v>
      </c>
      <c r="Z21" s="22">
        <v>0.38717602327478717</v>
      </c>
      <c r="AA21" s="22">
        <v>0.36733900835860411</v>
      </c>
      <c r="AB21" s="22">
        <v>0.34821045826085617</v>
      </c>
      <c r="AC21" s="22">
        <v>0.32979037298154334</v>
      </c>
      <c r="AD21" s="22">
        <v>0.31207875252066564</v>
      </c>
      <c r="AE21" s="22">
        <v>0.29472136446900543</v>
      </c>
      <c r="AF21" s="22">
        <v>0.27793074827209335</v>
      </c>
      <c r="AG21" s="22">
        <v>0.26177775041177287</v>
      </c>
      <c r="AH21" s="22">
        <v>0.24583729199698287</v>
      </c>
    </row>
    <row r="22" spans="1:34" x14ac:dyDescent="0.25">
      <c r="A22" s="17" t="s">
        <v>47</v>
      </c>
      <c r="B22" s="17" t="s">
        <v>20</v>
      </c>
      <c r="D22" s="22">
        <v>0.99</v>
      </c>
      <c r="E22" s="22">
        <v>0.99</v>
      </c>
      <c r="F22" s="22">
        <v>0.99</v>
      </c>
      <c r="G22" s="22">
        <v>0.99</v>
      </c>
      <c r="H22" s="22">
        <v>0.99</v>
      </c>
      <c r="I22" s="22">
        <v>0.99</v>
      </c>
      <c r="J22" s="22">
        <v>0.99</v>
      </c>
      <c r="K22" s="22">
        <v>0.99</v>
      </c>
      <c r="L22" s="22">
        <v>0.94361349505656922</v>
      </c>
      <c r="M22" s="22">
        <v>0.89851432066048309</v>
      </c>
      <c r="N22" s="22">
        <v>0.85601702171032512</v>
      </c>
      <c r="O22" s="22">
        <v>0.81525430639078578</v>
      </c>
      <c r="P22" s="22">
        <v>0.77709346651717459</v>
      </c>
      <c r="Q22" s="22">
        <v>0.74066721027418203</v>
      </c>
      <c r="R22" s="22">
        <v>0.70510824584649878</v>
      </c>
      <c r="S22" s="22">
        <v>0.67215115686474369</v>
      </c>
      <c r="T22" s="22">
        <v>0.6400613596982978</v>
      </c>
      <c r="U22" s="22">
        <v>0.60970614616247065</v>
      </c>
      <c r="V22" s="22">
        <v>0.58021822444195292</v>
      </c>
      <c r="W22" s="22">
        <v>0.55203124044439911</v>
      </c>
      <c r="X22" s="22">
        <v>0.52514519416980943</v>
      </c>
      <c r="Y22" s="22">
        <v>0.499126439710529</v>
      </c>
      <c r="Z22" s="22">
        <v>0.47397497706655795</v>
      </c>
      <c r="AA22" s="22">
        <v>0.4496908062378962</v>
      </c>
      <c r="AB22" s="22">
        <v>0.42627392722454388</v>
      </c>
      <c r="AC22" s="22">
        <v>0.40372434002650087</v>
      </c>
      <c r="AD22" s="22">
        <v>0.38204204464376718</v>
      </c>
      <c r="AE22" s="22">
        <v>0.36079339516868819</v>
      </c>
      <c r="AF22" s="22">
        <v>0.34023857914585665</v>
      </c>
      <c r="AG22" s="22">
        <v>0.32046432575680356</v>
      </c>
      <c r="AH22" s="22">
        <v>0.30095025991234325</v>
      </c>
    </row>
    <row r="24" spans="1:34" x14ac:dyDescent="0.25"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6"/>
      <c r="P24" s="26"/>
      <c r="Q24" s="26"/>
      <c r="R24" s="26"/>
      <c r="S24" s="26"/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  <c r="AE24" s="26"/>
      <c r="AF24" s="26"/>
      <c r="AG24" s="26"/>
      <c r="AH24" s="26"/>
    </row>
  </sheetData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</sheetPr>
  <dimension ref="A1:AH22"/>
  <sheetViews>
    <sheetView workbookViewId="0"/>
  </sheetViews>
  <sheetFormatPr baseColWidth="10" defaultColWidth="11.19921875" defaultRowHeight="13.8" x14ac:dyDescent="0.25"/>
  <cols>
    <col min="1" max="1" width="12.69921875" style="17" customWidth="1"/>
    <col min="2" max="16384" width="11.19921875" style="17"/>
  </cols>
  <sheetData>
    <row r="1" spans="1:34" x14ac:dyDescent="0.25">
      <c r="A1" s="17" t="s">
        <v>43</v>
      </c>
      <c r="B1" s="17" t="s">
        <v>44</v>
      </c>
      <c r="C1" s="20" t="s">
        <v>45</v>
      </c>
      <c r="D1" s="29">
        <v>0</v>
      </c>
      <c r="E1" s="29">
        <v>5000</v>
      </c>
      <c r="F1" s="29">
        <v>10000</v>
      </c>
      <c r="G1" s="29">
        <v>15000</v>
      </c>
      <c r="H1" s="29">
        <v>20000</v>
      </c>
      <c r="I1" s="29">
        <v>25000</v>
      </c>
      <c r="J1" s="29">
        <v>30000</v>
      </c>
      <c r="K1" s="29">
        <v>35000</v>
      </c>
      <c r="L1" s="29">
        <v>40000</v>
      </c>
      <c r="M1" s="29">
        <v>45000</v>
      </c>
      <c r="N1" s="29">
        <v>50000</v>
      </c>
      <c r="O1" s="29">
        <v>55000</v>
      </c>
      <c r="P1" s="29">
        <v>60000</v>
      </c>
      <c r="Q1" s="29">
        <v>65000</v>
      </c>
      <c r="R1" s="29">
        <v>70000</v>
      </c>
      <c r="S1" s="29">
        <v>75000</v>
      </c>
      <c r="T1" s="29">
        <v>80000</v>
      </c>
      <c r="U1" s="29">
        <v>85000</v>
      </c>
      <c r="V1" s="29">
        <v>90000</v>
      </c>
      <c r="W1" s="29">
        <v>95000</v>
      </c>
      <c r="X1" s="29">
        <v>100000</v>
      </c>
      <c r="Y1" s="29">
        <v>105000</v>
      </c>
      <c r="Z1" s="29">
        <v>110000</v>
      </c>
      <c r="AA1" s="29">
        <v>115000</v>
      </c>
      <c r="AB1" s="29">
        <v>120000</v>
      </c>
      <c r="AC1" s="29">
        <v>125000</v>
      </c>
      <c r="AD1" s="29">
        <v>130000</v>
      </c>
      <c r="AE1" s="29">
        <v>135000</v>
      </c>
      <c r="AF1" s="29">
        <v>140000</v>
      </c>
      <c r="AG1" s="29">
        <v>145000</v>
      </c>
      <c r="AH1" s="29">
        <v>150000</v>
      </c>
    </row>
    <row r="2" spans="1:34" x14ac:dyDescent="0.25">
      <c r="A2" s="17" t="s">
        <v>48</v>
      </c>
      <c r="B2" s="20" t="s">
        <v>7</v>
      </c>
      <c r="C2" s="20"/>
      <c r="D2" s="29">
        <v>0</v>
      </c>
      <c r="E2" s="29">
        <v>322</v>
      </c>
      <c r="F2" s="29">
        <v>644</v>
      </c>
      <c r="G2" s="29">
        <v>966</v>
      </c>
      <c r="H2" s="29">
        <v>1288</v>
      </c>
      <c r="I2" s="29">
        <v>1610</v>
      </c>
      <c r="J2" s="29">
        <v>1932</v>
      </c>
      <c r="K2" s="29">
        <v>2254</v>
      </c>
      <c r="L2" s="29">
        <v>2575</v>
      </c>
      <c r="M2" s="29">
        <v>2897</v>
      </c>
      <c r="N2" s="29">
        <v>3219</v>
      </c>
      <c r="O2" s="29">
        <v>3541</v>
      </c>
      <c r="P2" s="29">
        <v>3863</v>
      </c>
      <c r="Q2" s="29">
        <v>4185</v>
      </c>
      <c r="R2" s="29">
        <v>4507</v>
      </c>
      <c r="S2" s="29">
        <v>4829</v>
      </c>
      <c r="T2" s="29">
        <v>5151</v>
      </c>
      <c r="U2" s="29">
        <v>5473</v>
      </c>
      <c r="V2" s="29">
        <v>5795</v>
      </c>
      <c r="W2" s="29">
        <v>6117</v>
      </c>
      <c r="X2" s="29">
        <v>6439</v>
      </c>
      <c r="Y2" s="29">
        <v>6761</v>
      </c>
      <c r="Z2" s="29">
        <v>7083</v>
      </c>
      <c r="AA2" s="29">
        <v>7404</v>
      </c>
      <c r="AB2" s="29">
        <v>7726</v>
      </c>
      <c r="AC2" s="29">
        <v>8048</v>
      </c>
      <c r="AD2" s="29">
        <v>8370</v>
      </c>
      <c r="AE2" s="29">
        <v>8692</v>
      </c>
      <c r="AF2" s="29">
        <v>9014</v>
      </c>
      <c r="AG2" s="29">
        <v>9336</v>
      </c>
      <c r="AH2" s="29">
        <v>9658</v>
      </c>
    </row>
    <row r="3" spans="1:34" x14ac:dyDescent="0.25">
      <c r="A3" s="17" t="s">
        <v>7</v>
      </c>
      <c r="B3" s="27" t="s">
        <v>8</v>
      </c>
      <c r="C3" s="27"/>
      <c r="D3" s="29">
        <v>0</v>
      </c>
      <c r="E3" s="29">
        <v>653</v>
      </c>
      <c r="F3" s="29">
        <v>1306</v>
      </c>
      <c r="G3" s="29">
        <v>1959</v>
      </c>
      <c r="H3" s="29">
        <v>2613</v>
      </c>
      <c r="I3" s="29">
        <v>3266</v>
      </c>
      <c r="J3" s="29">
        <v>3919</v>
      </c>
      <c r="K3" s="29">
        <v>4572</v>
      </c>
      <c r="L3" s="29">
        <v>5225</v>
      </c>
      <c r="M3" s="29">
        <v>5878</v>
      </c>
      <c r="N3" s="29">
        <v>6531</v>
      </c>
      <c r="O3" s="29">
        <v>7185</v>
      </c>
      <c r="P3" s="29">
        <v>7838</v>
      </c>
      <c r="Q3" s="29">
        <v>8491</v>
      </c>
      <c r="R3" s="29">
        <v>9144</v>
      </c>
      <c r="S3" s="29">
        <v>9797</v>
      </c>
      <c r="T3" s="29">
        <v>10450</v>
      </c>
      <c r="U3" s="29">
        <v>11103</v>
      </c>
      <c r="V3" s="29">
        <v>11757</v>
      </c>
      <c r="W3" s="29">
        <v>12410</v>
      </c>
      <c r="X3" s="29">
        <v>13063</v>
      </c>
      <c r="Y3" s="29">
        <v>13716</v>
      </c>
      <c r="Z3" s="29">
        <v>14369</v>
      </c>
      <c r="AA3" s="29">
        <v>15022</v>
      </c>
      <c r="AB3" s="29">
        <v>15675</v>
      </c>
      <c r="AC3" s="29">
        <v>16329</v>
      </c>
      <c r="AD3" s="29">
        <v>16982</v>
      </c>
      <c r="AE3" s="29">
        <v>17635</v>
      </c>
      <c r="AF3" s="29">
        <v>18288</v>
      </c>
      <c r="AG3" s="29">
        <v>18941</v>
      </c>
      <c r="AH3" s="29">
        <v>19594</v>
      </c>
    </row>
    <row r="4" spans="1:34" x14ac:dyDescent="0.25">
      <c r="A4" s="17" t="s">
        <v>8</v>
      </c>
      <c r="B4" s="19" t="s">
        <v>9</v>
      </c>
      <c r="C4" s="19"/>
      <c r="D4" s="29">
        <v>0</v>
      </c>
      <c r="E4" s="29">
        <v>561</v>
      </c>
      <c r="F4" s="29">
        <v>1123</v>
      </c>
      <c r="G4" s="29">
        <v>1684</v>
      </c>
      <c r="H4" s="29">
        <v>2245</v>
      </c>
      <c r="I4" s="29">
        <v>2806</v>
      </c>
      <c r="J4" s="29">
        <v>3368</v>
      </c>
      <c r="K4" s="29">
        <v>3929</v>
      </c>
      <c r="L4" s="29">
        <v>4490</v>
      </c>
      <c r="M4" s="29">
        <v>5052</v>
      </c>
      <c r="N4" s="29">
        <v>5613</v>
      </c>
      <c r="O4" s="29">
        <v>6174</v>
      </c>
      <c r="P4" s="29">
        <v>6735</v>
      </c>
      <c r="Q4" s="29">
        <v>7297</v>
      </c>
      <c r="R4" s="29">
        <v>7858</v>
      </c>
      <c r="S4" s="29">
        <v>8419</v>
      </c>
      <c r="T4" s="29">
        <v>8980</v>
      </c>
      <c r="U4" s="29">
        <v>9542</v>
      </c>
      <c r="V4" s="29">
        <v>10103</v>
      </c>
      <c r="W4" s="29">
        <v>10664</v>
      </c>
      <c r="X4" s="29">
        <v>11226</v>
      </c>
      <c r="Y4" s="29">
        <v>11787</v>
      </c>
      <c r="Z4" s="29">
        <v>12348</v>
      </c>
      <c r="AA4" s="29">
        <v>12909</v>
      </c>
      <c r="AB4" s="29">
        <v>13471</v>
      </c>
      <c r="AC4" s="29">
        <v>14032</v>
      </c>
      <c r="AD4" s="29">
        <v>14593</v>
      </c>
      <c r="AE4" s="29">
        <v>15155</v>
      </c>
      <c r="AF4" s="29">
        <v>15716</v>
      </c>
      <c r="AG4" s="29">
        <v>16277</v>
      </c>
      <c r="AH4" s="29">
        <v>16838</v>
      </c>
    </row>
    <row r="5" spans="1:34" x14ac:dyDescent="0.25">
      <c r="A5" s="17" t="s">
        <v>9</v>
      </c>
      <c r="B5" s="17" t="s">
        <v>0</v>
      </c>
      <c r="D5" s="29">
        <v>0</v>
      </c>
      <c r="E5" s="29">
        <v>752</v>
      </c>
      <c r="F5" s="29">
        <v>1504</v>
      </c>
      <c r="G5" s="29">
        <v>2255</v>
      </c>
      <c r="H5" s="29">
        <v>3007</v>
      </c>
      <c r="I5" s="29">
        <v>3759</v>
      </c>
      <c r="J5" s="29">
        <v>4511</v>
      </c>
      <c r="K5" s="29">
        <v>5262</v>
      </c>
      <c r="L5" s="29">
        <v>6014</v>
      </c>
      <c r="M5" s="29">
        <v>6766</v>
      </c>
      <c r="N5" s="29">
        <v>7518</v>
      </c>
      <c r="O5" s="29">
        <v>8269</v>
      </c>
      <c r="P5" s="29">
        <v>9021</v>
      </c>
      <c r="Q5" s="29">
        <v>9773</v>
      </c>
      <c r="R5" s="29">
        <v>10525</v>
      </c>
      <c r="S5" s="29">
        <v>11276</v>
      </c>
      <c r="T5" s="29">
        <v>12028</v>
      </c>
      <c r="U5" s="29">
        <v>12780</v>
      </c>
      <c r="V5" s="29">
        <v>13532</v>
      </c>
      <c r="W5" s="29">
        <v>14283</v>
      </c>
      <c r="X5" s="29">
        <v>15035</v>
      </c>
      <c r="Y5" s="29">
        <v>15787</v>
      </c>
      <c r="Z5" s="29">
        <v>16539</v>
      </c>
      <c r="AA5" s="29">
        <v>17290</v>
      </c>
      <c r="AB5" s="29">
        <v>18042</v>
      </c>
      <c r="AC5" s="29">
        <v>18794</v>
      </c>
      <c r="AD5" s="29">
        <v>19546</v>
      </c>
      <c r="AE5" s="29">
        <v>20297</v>
      </c>
      <c r="AF5" s="29">
        <v>21049</v>
      </c>
      <c r="AG5" s="29">
        <v>21801</v>
      </c>
      <c r="AH5" s="29">
        <v>22553</v>
      </c>
    </row>
    <row r="6" spans="1:34" x14ac:dyDescent="0.25">
      <c r="A6" s="17" t="s">
        <v>0</v>
      </c>
      <c r="B6" s="17" t="s">
        <v>1</v>
      </c>
      <c r="D6" s="29">
        <v>0</v>
      </c>
      <c r="E6" s="29">
        <v>1436</v>
      </c>
      <c r="F6" s="29">
        <v>2871</v>
      </c>
      <c r="G6" s="29">
        <v>4307</v>
      </c>
      <c r="H6" s="29">
        <v>5742</v>
      </c>
      <c r="I6" s="29">
        <v>7178</v>
      </c>
      <c r="J6" s="29">
        <v>8614</v>
      </c>
      <c r="K6" s="29">
        <v>10049</v>
      </c>
      <c r="L6" s="29">
        <v>11485</v>
      </c>
      <c r="M6" s="29">
        <v>12920</v>
      </c>
      <c r="N6" s="29">
        <v>14356</v>
      </c>
      <c r="O6" s="29">
        <v>15792</v>
      </c>
      <c r="P6" s="29">
        <v>17227</v>
      </c>
      <c r="Q6" s="29">
        <v>18663</v>
      </c>
      <c r="R6" s="29">
        <v>20099</v>
      </c>
      <c r="S6" s="29">
        <v>21534</v>
      </c>
      <c r="T6" s="29">
        <v>22970</v>
      </c>
      <c r="U6" s="29">
        <v>24405</v>
      </c>
      <c r="V6" s="29">
        <v>25841</v>
      </c>
      <c r="W6" s="29">
        <v>27277</v>
      </c>
      <c r="X6" s="29">
        <v>28712</v>
      </c>
      <c r="Y6" s="29">
        <v>30148</v>
      </c>
      <c r="Z6" s="29">
        <v>31583</v>
      </c>
      <c r="AA6" s="29">
        <v>33019</v>
      </c>
      <c r="AB6" s="29">
        <v>34455</v>
      </c>
      <c r="AC6" s="29">
        <v>35890</v>
      </c>
      <c r="AD6" s="29">
        <v>37326</v>
      </c>
      <c r="AE6" s="29">
        <v>38761</v>
      </c>
      <c r="AF6" s="29">
        <v>40197</v>
      </c>
      <c r="AG6" s="29">
        <v>41633</v>
      </c>
      <c r="AH6" s="29">
        <v>43068</v>
      </c>
    </row>
    <row r="7" spans="1:34" x14ac:dyDescent="0.25">
      <c r="A7" s="17" t="s">
        <v>1</v>
      </c>
      <c r="B7" s="17" t="s">
        <v>2</v>
      </c>
      <c r="D7" s="29">
        <v>0</v>
      </c>
      <c r="E7" s="29">
        <v>2547</v>
      </c>
      <c r="F7" s="29">
        <v>5093</v>
      </c>
      <c r="G7" s="29">
        <v>7640</v>
      </c>
      <c r="H7" s="29">
        <v>10187</v>
      </c>
      <c r="I7" s="29">
        <v>12734</v>
      </c>
      <c r="J7" s="29">
        <v>15280</v>
      </c>
      <c r="K7" s="29">
        <v>17827</v>
      </c>
      <c r="L7" s="29">
        <v>20375</v>
      </c>
      <c r="M7" s="29">
        <v>22921</v>
      </c>
      <c r="N7" s="29">
        <v>25468</v>
      </c>
      <c r="O7" s="29">
        <v>28015</v>
      </c>
      <c r="P7" s="29">
        <v>30563</v>
      </c>
      <c r="Q7" s="29">
        <v>33110</v>
      </c>
      <c r="R7" s="29">
        <v>35655</v>
      </c>
      <c r="S7" s="29">
        <v>38202</v>
      </c>
      <c r="T7" s="29">
        <v>40749</v>
      </c>
      <c r="U7" s="29">
        <v>43296</v>
      </c>
      <c r="V7" s="29">
        <v>45843</v>
      </c>
      <c r="W7" s="29">
        <v>48389</v>
      </c>
      <c r="X7" s="29">
        <v>50936</v>
      </c>
      <c r="Y7" s="29">
        <v>53482</v>
      </c>
      <c r="Z7" s="29">
        <v>56031</v>
      </c>
      <c r="AA7" s="29">
        <v>58577</v>
      </c>
      <c r="AB7" s="29">
        <v>61124</v>
      </c>
      <c r="AC7" s="29">
        <v>63670</v>
      </c>
      <c r="AD7" s="29">
        <v>66217</v>
      </c>
      <c r="AE7" s="29">
        <v>68765</v>
      </c>
      <c r="AF7" s="29">
        <v>71310</v>
      </c>
      <c r="AG7" s="29">
        <v>73858</v>
      </c>
      <c r="AH7" s="29">
        <v>76404</v>
      </c>
    </row>
    <row r="8" spans="1:34" x14ac:dyDescent="0.25">
      <c r="A8" s="17" t="s">
        <v>2</v>
      </c>
      <c r="B8" s="17" t="s">
        <v>3</v>
      </c>
      <c r="D8" s="29">
        <v>0</v>
      </c>
      <c r="E8" s="29">
        <v>2446</v>
      </c>
      <c r="F8" s="29">
        <v>4891</v>
      </c>
      <c r="G8" s="29">
        <v>7337</v>
      </c>
      <c r="H8" s="29">
        <v>9782</v>
      </c>
      <c r="I8" s="29">
        <v>12228</v>
      </c>
      <c r="J8" s="29">
        <v>14672</v>
      </c>
      <c r="K8" s="29">
        <v>17119</v>
      </c>
      <c r="L8" s="29">
        <v>19564</v>
      </c>
      <c r="M8" s="29">
        <v>22010</v>
      </c>
      <c r="N8" s="29">
        <v>24455</v>
      </c>
      <c r="O8" s="29">
        <v>26901</v>
      </c>
      <c r="P8" s="29">
        <v>29346</v>
      </c>
      <c r="Q8" s="29">
        <v>31792</v>
      </c>
      <c r="R8" s="29">
        <v>34237</v>
      </c>
      <c r="S8" s="29">
        <v>36683</v>
      </c>
      <c r="T8" s="29">
        <v>39129</v>
      </c>
      <c r="U8" s="29">
        <v>41574</v>
      </c>
      <c r="V8" s="29">
        <v>44020</v>
      </c>
      <c r="W8" s="29">
        <v>46465</v>
      </c>
      <c r="X8" s="29">
        <v>48911</v>
      </c>
      <c r="Y8" s="29">
        <v>51355</v>
      </c>
      <c r="Z8" s="29">
        <v>53802</v>
      </c>
      <c r="AA8" s="29">
        <v>56247</v>
      </c>
      <c r="AB8" s="29">
        <v>58693</v>
      </c>
      <c r="AC8" s="29">
        <v>61138</v>
      </c>
      <c r="AD8" s="29">
        <v>63584</v>
      </c>
      <c r="AE8" s="29">
        <v>66030</v>
      </c>
      <c r="AF8" s="29">
        <v>68475</v>
      </c>
      <c r="AG8" s="29">
        <v>70921</v>
      </c>
      <c r="AH8" s="29">
        <v>73366</v>
      </c>
    </row>
    <row r="9" spans="1:34" x14ac:dyDescent="0.25">
      <c r="A9" s="17" t="s">
        <v>3</v>
      </c>
      <c r="B9" s="17" t="s">
        <v>4</v>
      </c>
      <c r="D9" s="29">
        <v>0</v>
      </c>
      <c r="E9" s="29">
        <v>1714</v>
      </c>
      <c r="F9" s="29">
        <v>3428</v>
      </c>
      <c r="G9" s="29">
        <v>5142</v>
      </c>
      <c r="H9" s="29">
        <v>6856</v>
      </c>
      <c r="I9" s="29">
        <v>8570</v>
      </c>
      <c r="J9" s="29">
        <v>10284</v>
      </c>
      <c r="K9" s="29">
        <v>11998</v>
      </c>
      <c r="L9" s="29">
        <v>13712</v>
      </c>
      <c r="M9" s="29">
        <v>15426</v>
      </c>
      <c r="N9" s="29">
        <v>17140</v>
      </c>
      <c r="O9" s="29">
        <v>18854</v>
      </c>
      <c r="P9" s="29">
        <v>20568</v>
      </c>
      <c r="Q9" s="29">
        <v>22282</v>
      </c>
      <c r="R9" s="29">
        <v>23996</v>
      </c>
      <c r="S9" s="29">
        <v>25710</v>
      </c>
      <c r="T9" s="29">
        <v>27424</v>
      </c>
      <c r="U9" s="29">
        <v>29138</v>
      </c>
      <c r="V9" s="29">
        <v>30852</v>
      </c>
      <c r="W9" s="29">
        <v>32566</v>
      </c>
      <c r="X9" s="29">
        <v>34280</v>
      </c>
      <c r="Y9" s="29">
        <v>35994</v>
      </c>
      <c r="Z9" s="29">
        <v>37708</v>
      </c>
      <c r="AA9" s="29">
        <v>39422</v>
      </c>
      <c r="AB9" s="29">
        <v>41136</v>
      </c>
      <c r="AC9" s="29">
        <v>42850</v>
      </c>
      <c r="AD9" s="29">
        <v>44564</v>
      </c>
      <c r="AE9" s="29">
        <v>46278</v>
      </c>
      <c r="AF9" s="29">
        <v>47992</v>
      </c>
      <c r="AG9" s="29">
        <v>49706</v>
      </c>
      <c r="AH9" s="29">
        <v>51420</v>
      </c>
    </row>
    <row r="10" spans="1:34" x14ac:dyDescent="0.25">
      <c r="A10" s="17" t="s">
        <v>4</v>
      </c>
      <c r="B10" s="17" t="s">
        <v>5</v>
      </c>
      <c r="D10" s="29">
        <v>0</v>
      </c>
      <c r="E10" s="29">
        <v>1333</v>
      </c>
      <c r="F10" s="29">
        <v>2666</v>
      </c>
      <c r="G10" s="29">
        <v>3999</v>
      </c>
      <c r="H10" s="29">
        <v>5331</v>
      </c>
      <c r="I10" s="29">
        <v>6664</v>
      </c>
      <c r="J10" s="29">
        <v>7997</v>
      </c>
      <c r="K10" s="29">
        <v>9330</v>
      </c>
      <c r="L10" s="29">
        <v>10663</v>
      </c>
      <c r="M10" s="29">
        <v>11996</v>
      </c>
      <c r="N10" s="29">
        <v>13329</v>
      </c>
      <c r="O10" s="29">
        <v>14661</v>
      </c>
      <c r="P10" s="29">
        <v>15994</v>
      </c>
      <c r="Q10" s="29">
        <v>17327</v>
      </c>
      <c r="R10" s="29">
        <v>18660</v>
      </c>
      <c r="S10" s="29">
        <v>19993</v>
      </c>
      <c r="T10" s="29">
        <v>21326</v>
      </c>
      <c r="U10" s="29">
        <v>22659</v>
      </c>
      <c r="V10" s="29">
        <v>23991</v>
      </c>
      <c r="W10" s="29">
        <v>25324</v>
      </c>
      <c r="X10" s="29">
        <v>26657</v>
      </c>
      <c r="Y10" s="29">
        <v>27990</v>
      </c>
      <c r="Z10" s="29">
        <v>29323</v>
      </c>
      <c r="AA10" s="29">
        <v>30656</v>
      </c>
      <c r="AB10" s="29">
        <v>31989</v>
      </c>
      <c r="AC10" s="29">
        <v>33321</v>
      </c>
      <c r="AD10" s="29">
        <v>34654</v>
      </c>
      <c r="AE10" s="29">
        <v>35987</v>
      </c>
      <c r="AF10" s="29">
        <v>37320</v>
      </c>
      <c r="AG10" s="29">
        <v>38653</v>
      </c>
      <c r="AH10" s="29">
        <v>39986</v>
      </c>
    </row>
    <row r="11" spans="1:34" x14ac:dyDescent="0.25">
      <c r="A11" s="17" t="s">
        <v>5</v>
      </c>
      <c r="B11" s="17" t="s">
        <v>6</v>
      </c>
      <c r="D11" s="29">
        <v>0</v>
      </c>
      <c r="E11" s="29">
        <v>1006</v>
      </c>
      <c r="F11" s="29">
        <v>2012</v>
      </c>
      <c r="G11" s="29">
        <v>3017</v>
      </c>
      <c r="H11" s="29">
        <v>4023</v>
      </c>
      <c r="I11" s="29">
        <v>5029</v>
      </c>
      <c r="J11" s="29">
        <v>6035</v>
      </c>
      <c r="K11" s="29">
        <v>7041</v>
      </c>
      <c r="L11" s="29">
        <v>8046</v>
      </c>
      <c r="M11" s="29">
        <v>9052</v>
      </c>
      <c r="N11" s="29">
        <v>10058</v>
      </c>
      <c r="O11" s="29">
        <v>11064</v>
      </c>
      <c r="P11" s="29">
        <v>12069</v>
      </c>
      <c r="Q11" s="29">
        <v>13075</v>
      </c>
      <c r="R11" s="29">
        <v>14081</v>
      </c>
      <c r="S11" s="29">
        <v>15087</v>
      </c>
      <c r="T11" s="29">
        <v>16093</v>
      </c>
      <c r="U11" s="29">
        <v>17098</v>
      </c>
      <c r="V11" s="29">
        <v>18104</v>
      </c>
      <c r="W11" s="29">
        <v>19110</v>
      </c>
      <c r="X11" s="29">
        <v>20116</v>
      </c>
      <c r="Y11" s="29">
        <v>21122</v>
      </c>
      <c r="Z11" s="29">
        <v>22127</v>
      </c>
      <c r="AA11" s="29">
        <v>23133</v>
      </c>
      <c r="AB11" s="29">
        <v>24139</v>
      </c>
      <c r="AC11" s="29">
        <v>25145</v>
      </c>
      <c r="AD11" s="29">
        <v>26150</v>
      </c>
      <c r="AE11" s="29">
        <v>27156</v>
      </c>
      <c r="AF11" s="29">
        <v>28162</v>
      </c>
      <c r="AG11" s="29">
        <v>29168</v>
      </c>
      <c r="AH11" s="29">
        <v>30174</v>
      </c>
    </row>
    <row r="12" spans="1:34" x14ac:dyDescent="0.25">
      <c r="A12" s="17" t="s">
        <v>6</v>
      </c>
      <c r="B12" s="17" t="s">
        <v>10</v>
      </c>
      <c r="D12" s="29">
        <v>0</v>
      </c>
      <c r="E12" s="29">
        <v>578</v>
      </c>
      <c r="F12" s="29">
        <v>1156</v>
      </c>
      <c r="G12" s="29">
        <v>1735</v>
      </c>
      <c r="H12" s="29">
        <v>2313</v>
      </c>
      <c r="I12" s="29">
        <v>2891</v>
      </c>
      <c r="J12" s="29">
        <v>3469</v>
      </c>
      <c r="K12" s="29">
        <v>4047</v>
      </c>
      <c r="L12" s="29">
        <v>4625</v>
      </c>
      <c r="M12" s="29">
        <v>5204</v>
      </c>
      <c r="N12" s="29">
        <v>5782</v>
      </c>
      <c r="O12" s="29">
        <v>6360</v>
      </c>
      <c r="P12" s="29">
        <v>6938</v>
      </c>
      <c r="Q12" s="29">
        <v>7516</v>
      </c>
      <c r="R12" s="29">
        <v>8094</v>
      </c>
      <c r="S12" s="29">
        <v>8673</v>
      </c>
      <c r="T12" s="29">
        <v>9251</v>
      </c>
      <c r="U12" s="29">
        <v>9829</v>
      </c>
      <c r="V12" s="29">
        <v>10407</v>
      </c>
      <c r="W12" s="29">
        <v>10985</v>
      </c>
      <c r="X12" s="29">
        <v>11563</v>
      </c>
      <c r="Y12" s="29">
        <v>12142</v>
      </c>
      <c r="Z12" s="29">
        <v>12720</v>
      </c>
      <c r="AA12" s="29">
        <v>13298</v>
      </c>
      <c r="AB12" s="29">
        <v>13876</v>
      </c>
      <c r="AC12" s="29">
        <v>14454</v>
      </c>
      <c r="AD12" s="29">
        <v>15032</v>
      </c>
      <c r="AE12" s="29">
        <v>15611</v>
      </c>
      <c r="AF12" s="29">
        <v>16189</v>
      </c>
      <c r="AG12" s="29">
        <v>16767</v>
      </c>
      <c r="AH12" s="29">
        <v>17345</v>
      </c>
    </row>
    <row r="13" spans="1:34" x14ac:dyDescent="0.25">
      <c r="A13" s="17" t="s">
        <v>10</v>
      </c>
      <c r="B13" s="17" t="s">
        <v>11</v>
      </c>
      <c r="D13" s="29">
        <v>0</v>
      </c>
      <c r="E13" s="29">
        <v>186</v>
      </c>
      <c r="F13" s="29">
        <v>371</v>
      </c>
      <c r="G13" s="29">
        <v>557</v>
      </c>
      <c r="H13" s="29">
        <v>742</v>
      </c>
      <c r="I13" s="29">
        <v>928</v>
      </c>
      <c r="J13" s="29">
        <v>1114</v>
      </c>
      <c r="K13" s="29">
        <v>1299</v>
      </c>
      <c r="L13" s="29">
        <v>1485</v>
      </c>
      <c r="M13" s="29">
        <v>1670</v>
      </c>
      <c r="N13" s="29">
        <v>1856</v>
      </c>
      <c r="O13" s="29">
        <v>2042</v>
      </c>
      <c r="P13" s="29">
        <v>2227</v>
      </c>
      <c r="Q13" s="29">
        <v>2413</v>
      </c>
      <c r="R13" s="29">
        <v>2598</v>
      </c>
      <c r="S13" s="29">
        <v>2784</v>
      </c>
      <c r="T13" s="29">
        <v>2970</v>
      </c>
      <c r="U13" s="29">
        <v>3155</v>
      </c>
      <c r="V13" s="29">
        <v>3341</v>
      </c>
      <c r="W13" s="29">
        <v>3526</v>
      </c>
      <c r="X13" s="29">
        <v>3712</v>
      </c>
      <c r="Y13" s="29">
        <v>3898</v>
      </c>
      <c r="Z13" s="29">
        <v>4083</v>
      </c>
      <c r="AA13" s="29">
        <v>4269</v>
      </c>
      <c r="AB13" s="29">
        <v>4454</v>
      </c>
      <c r="AC13" s="29">
        <v>4640</v>
      </c>
      <c r="AD13" s="29">
        <v>4826</v>
      </c>
      <c r="AE13" s="29">
        <v>5011</v>
      </c>
      <c r="AF13" s="29">
        <v>5197</v>
      </c>
      <c r="AG13" s="29">
        <v>5382</v>
      </c>
      <c r="AH13" s="29">
        <v>5568</v>
      </c>
    </row>
    <row r="14" spans="1:34" x14ac:dyDescent="0.25">
      <c r="A14" s="17" t="s">
        <v>11</v>
      </c>
      <c r="B14" s="17" t="s">
        <v>12</v>
      </c>
      <c r="D14" s="29">
        <v>0</v>
      </c>
      <c r="E14" s="29">
        <v>-230</v>
      </c>
      <c r="F14" s="29">
        <v>-459</v>
      </c>
      <c r="G14" s="29">
        <v>-689</v>
      </c>
      <c r="H14" s="29">
        <v>-919</v>
      </c>
      <c r="I14" s="29">
        <v>-1149</v>
      </c>
      <c r="J14" s="29">
        <v>-1378</v>
      </c>
      <c r="K14" s="29">
        <v>-1608</v>
      </c>
      <c r="L14" s="29">
        <v>-1838</v>
      </c>
      <c r="M14" s="29">
        <v>-2068</v>
      </c>
      <c r="N14" s="29">
        <v>-2297</v>
      </c>
      <c r="O14" s="29">
        <v>-2527</v>
      </c>
      <c r="P14" s="29">
        <v>-2757</v>
      </c>
      <c r="Q14" s="29">
        <v>-2987</v>
      </c>
      <c r="R14" s="29">
        <v>-3216</v>
      </c>
      <c r="S14" s="29">
        <v>-3446</v>
      </c>
      <c r="T14" s="29">
        <v>-3676</v>
      </c>
      <c r="U14" s="29">
        <v>-3905</v>
      </c>
      <c r="V14" s="29">
        <v>-4135</v>
      </c>
      <c r="W14" s="29">
        <v>-4365</v>
      </c>
      <c r="X14" s="29">
        <v>-4595</v>
      </c>
      <c r="Y14" s="29">
        <v>-4824</v>
      </c>
      <c r="Z14" s="29">
        <v>-5054</v>
      </c>
      <c r="AA14" s="29">
        <v>-5284</v>
      </c>
      <c r="AB14" s="29">
        <v>-5514</v>
      </c>
      <c r="AC14" s="29">
        <v>-5743</v>
      </c>
      <c r="AD14" s="29">
        <v>-5973</v>
      </c>
      <c r="AE14" s="29">
        <v>-6203</v>
      </c>
      <c r="AF14" s="29">
        <v>-6432</v>
      </c>
      <c r="AG14" s="29">
        <v>-6662</v>
      </c>
      <c r="AH14" s="29">
        <v>-6892</v>
      </c>
    </row>
    <row r="15" spans="1:34" x14ac:dyDescent="0.25">
      <c r="A15" s="17" t="s">
        <v>12</v>
      </c>
      <c r="B15" s="17" t="s">
        <v>13</v>
      </c>
      <c r="D15" s="29">
        <v>0</v>
      </c>
      <c r="E15" s="29">
        <v>-364</v>
      </c>
      <c r="F15" s="29">
        <v>-729</v>
      </c>
      <c r="G15" s="29">
        <v>-1093</v>
      </c>
      <c r="H15" s="29">
        <v>-1457</v>
      </c>
      <c r="I15" s="29">
        <v>-1822</v>
      </c>
      <c r="J15" s="29">
        <v>-2186</v>
      </c>
      <c r="K15" s="29">
        <v>-2550</v>
      </c>
      <c r="L15" s="29">
        <v>-2915</v>
      </c>
      <c r="M15" s="29">
        <v>-3279</v>
      </c>
      <c r="N15" s="29">
        <v>-3643</v>
      </c>
      <c r="O15" s="29">
        <v>-4008</v>
      </c>
      <c r="P15" s="29">
        <v>-4372</v>
      </c>
      <c r="Q15" s="29">
        <v>-4736</v>
      </c>
      <c r="R15" s="29">
        <v>-5101</v>
      </c>
      <c r="S15" s="29">
        <v>-5465</v>
      </c>
      <c r="T15" s="29">
        <v>-5829</v>
      </c>
      <c r="U15" s="29">
        <v>-6194</v>
      </c>
      <c r="V15" s="29">
        <v>-6558</v>
      </c>
      <c r="W15" s="29">
        <v>-6922</v>
      </c>
      <c r="X15" s="29">
        <v>-7287</v>
      </c>
      <c r="Y15" s="29">
        <v>-7651</v>
      </c>
      <c r="Z15" s="29">
        <v>-8015</v>
      </c>
      <c r="AA15" s="29">
        <v>-8380</v>
      </c>
      <c r="AB15" s="29">
        <v>-8744</v>
      </c>
      <c r="AC15" s="29">
        <v>-9108</v>
      </c>
      <c r="AD15" s="29">
        <v>-9472</v>
      </c>
      <c r="AE15" s="29">
        <v>-9837</v>
      </c>
      <c r="AF15" s="29">
        <v>-10201</v>
      </c>
      <c r="AG15" s="29">
        <v>-10565</v>
      </c>
      <c r="AH15" s="29">
        <v>-10930</v>
      </c>
    </row>
    <row r="16" spans="1:34" x14ac:dyDescent="0.25">
      <c r="A16" s="17" t="s">
        <v>13</v>
      </c>
      <c r="B16" s="17" t="s">
        <v>14</v>
      </c>
      <c r="D16" s="29">
        <v>0</v>
      </c>
      <c r="E16" s="29">
        <v>-76</v>
      </c>
      <c r="F16" s="29">
        <v>-152</v>
      </c>
      <c r="G16" s="29">
        <v>-228</v>
      </c>
      <c r="H16" s="29">
        <v>-304</v>
      </c>
      <c r="I16" s="29">
        <v>-380</v>
      </c>
      <c r="J16" s="29">
        <v>-455</v>
      </c>
      <c r="K16" s="29">
        <v>-531</v>
      </c>
      <c r="L16" s="29">
        <v>-607</v>
      </c>
      <c r="M16" s="29">
        <v>-683</v>
      </c>
      <c r="N16" s="29">
        <v>-759</v>
      </c>
      <c r="O16" s="29">
        <v>-835</v>
      </c>
      <c r="P16" s="29">
        <v>-911</v>
      </c>
      <c r="Q16" s="29">
        <v>-987</v>
      </c>
      <c r="R16" s="29">
        <v>-1063</v>
      </c>
      <c r="S16" s="29">
        <v>-1139</v>
      </c>
      <c r="T16" s="29">
        <v>-1215</v>
      </c>
      <c r="U16" s="29">
        <v>-1290</v>
      </c>
      <c r="V16" s="29">
        <v>-1366</v>
      </c>
      <c r="W16" s="29">
        <v>-1442</v>
      </c>
      <c r="X16" s="29">
        <v>-1518</v>
      </c>
      <c r="Y16" s="29">
        <v>-1594</v>
      </c>
      <c r="Z16" s="29">
        <v>-1670</v>
      </c>
      <c r="AA16" s="29">
        <v>-1746</v>
      </c>
      <c r="AB16" s="29">
        <v>-1822</v>
      </c>
      <c r="AC16" s="29">
        <v>-1898</v>
      </c>
      <c r="AD16" s="29">
        <v>-1974</v>
      </c>
      <c r="AE16" s="29">
        <v>-2050</v>
      </c>
      <c r="AF16" s="29">
        <v>-2125</v>
      </c>
      <c r="AG16" s="29">
        <v>-2201</v>
      </c>
      <c r="AH16" s="29">
        <v>-2277</v>
      </c>
    </row>
    <row r="17" spans="1:34" x14ac:dyDescent="0.25">
      <c r="A17" s="17" t="s">
        <v>14</v>
      </c>
      <c r="B17" s="17" t="s">
        <v>15</v>
      </c>
      <c r="D17" s="29">
        <v>0</v>
      </c>
      <c r="E17" s="29">
        <v>-8</v>
      </c>
      <c r="F17" s="29">
        <v>-17</v>
      </c>
      <c r="G17" s="29">
        <v>-25</v>
      </c>
      <c r="H17" s="29">
        <v>-34</v>
      </c>
      <c r="I17" s="29">
        <v>-42</v>
      </c>
      <c r="J17" s="29">
        <v>-51</v>
      </c>
      <c r="K17" s="29">
        <v>-59</v>
      </c>
      <c r="L17" s="29">
        <v>-68</v>
      </c>
      <c r="M17" s="29">
        <v>-76</v>
      </c>
      <c r="N17" s="29">
        <v>-85</v>
      </c>
      <c r="O17" s="29">
        <v>-93</v>
      </c>
      <c r="P17" s="29">
        <v>-102</v>
      </c>
      <c r="Q17" s="29">
        <v>-110</v>
      </c>
      <c r="R17" s="29">
        <v>-119</v>
      </c>
      <c r="S17" s="29">
        <v>-127</v>
      </c>
      <c r="T17" s="29">
        <v>-136</v>
      </c>
      <c r="U17" s="29">
        <v>-144</v>
      </c>
      <c r="V17" s="29">
        <v>-153</v>
      </c>
      <c r="W17" s="29">
        <v>-161</v>
      </c>
      <c r="X17" s="29">
        <v>-170</v>
      </c>
      <c r="Y17" s="29">
        <v>-178</v>
      </c>
      <c r="Z17" s="29">
        <v>-187</v>
      </c>
      <c r="AA17" s="29">
        <v>-195</v>
      </c>
      <c r="AB17" s="29">
        <v>-203</v>
      </c>
      <c r="AC17" s="29">
        <v>-212</v>
      </c>
      <c r="AD17" s="29">
        <v>-220</v>
      </c>
      <c r="AE17" s="29">
        <v>-229</v>
      </c>
      <c r="AF17" s="29">
        <v>-237</v>
      </c>
      <c r="AG17" s="29">
        <v>-246</v>
      </c>
      <c r="AH17" s="29">
        <v>-254</v>
      </c>
    </row>
    <row r="18" spans="1:34" x14ac:dyDescent="0.25">
      <c r="A18" s="17" t="s">
        <v>15</v>
      </c>
      <c r="B18" s="17" t="s">
        <v>16</v>
      </c>
      <c r="D18" s="29">
        <v>0</v>
      </c>
      <c r="E18" s="29">
        <v>6</v>
      </c>
      <c r="F18" s="29">
        <v>12</v>
      </c>
      <c r="G18" s="29">
        <v>18</v>
      </c>
      <c r="H18" s="29">
        <v>24</v>
      </c>
      <c r="I18" s="29">
        <v>30</v>
      </c>
      <c r="J18" s="29">
        <v>36</v>
      </c>
      <c r="K18" s="29">
        <v>42</v>
      </c>
      <c r="L18" s="29">
        <v>48</v>
      </c>
      <c r="M18" s="29">
        <v>54</v>
      </c>
      <c r="N18" s="29">
        <v>60</v>
      </c>
      <c r="O18" s="29">
        <v>66</v>
      </c>
      <c r="P18" s="29">
        <v>72</v>
      </c>
      <c r="Q18" s="29">
        <v>78</v>
      </c>
      <c r="R18" s="29">
        <v>84</v>
      </c>
      <c r="S18" s="29">
        <v>90</v>
      </c>
      <c r="T18" s="29">
        <v>96</v>
      </c>
      <c r="U18" s="29">
        <v>102</v>
      </c>
      <c r="V18" s="29">
        <v>108</v>
      </c>
      <c r="W18" s="29">
        <v>114</v>
      </c>
      <c r="X18" s="29">
        <v>120</v>
      </c>
      <c r="Y18" s="29">
        <v>126</v>
      </c>
      <c r="Z18" s="29">
        <v>132</v>
      </c>
      <c r="AA18" s="29">
        <v>138</v>
      </c>
      <c r="AB18" s="29">
        <v>144</v>
      </c>
      <c r="AC18" s="29">
        <v>150</v>
      </c>
      <c r="AD18" s="29">
        <v>156</v>
      </c>
      <c r="AE18" s="29">
        <v>162</v>
      </c>
      <c r="AF18" s="29">
        <v>168</v>
      </c>
      <c r="AG18" s="29">
        <v>174</v>
      </c>
      <c r="AH18" s="29">
        <v>180</v>
      </c>
    </row>
    <row r="19" spans="1:34" x14ac:dyDescent="0.25">
      <c r="A19" s="17" t="s">
        <v>16</v>
      </c>
      <c r="B19" s="17" t="s">
        <v>17</v>
      </c>
      <c r="D19" s="29">
        <v>0</v>
      </c>
      <c r="E19" s="29">
        <v>1</v>
      </c>
      <c r="F19" s="29">
        <v>3</v>
      </c>
      <c r="G19" s="29">
        <v>4</v>
      </c>
      <c r="H19" s="29">
        <v>5</v>
      </c>
      <c r="I19" s="29">
        <v>7</v>
      </c>
      <c r="J19" s="29">
        <v>8</v>
      </c>
      <c r="K19" s="29">
        <v>9</v>
      </c>
      <c r="L19" s="29">
        <v>11</v>
      </c>
      <c r="M19" s="29">
        <v>12</v>
      </c>
      <c r="N19" s="29">
        <v>13</v>
      </c>
      <c r="O19" s="29">
        <v>15</v>
      </c>
      <c r="P19" s="29">
        <v>16</v>
      </c>
      <c r="Q19" s="29">
        <v>17</v>
      </c>
      <c r="R19" s="29">
        <v>19</v>
      </c>
      <c r="S19" s="29">
        <v>20</v>
      </c>
      <c r="T19" s="29">
        <v>21</v>
      </c>
      <c r="U19" s="29">
        <v>23</v>
      </c>
      <c r="V19" s="29">
        <v>24</v>
      </c>
      <c r="W19" s="29">
        <v>25</v>
      </c>
      <c r="X19" s="29">
        <v>27</v>
      </c>
      <c r="Y19" s="29">
        <v>28</v>
      </c>
      <c r="Z19" s="29">
        <v>29</v>
      </c>
      <c r="AA19" s="29">
        <v>31</v>
      </c>
      <c r="AB19" s="29">
        <v>32</v>
      </c>
      <c r="AC19" s="29">
        <v>33</v>
      </c>
      <c r="AD19" s="29">
        <v>35</v>
      </c>
      <c r="AE19" s="29">
        <v>36</v>
      </c>
      <c r="AF19" s="29">
        <v>37</v>
      </c>
      <c r="AG19" s="29">
        <v>39</v>
      </c>
      <c r="AH19" s="29">
        <v>40</v>
      </c>
    </row>
    <row r="20" spans="1:34" x14ac:dyDescent="0.25">
      <c r="A20" s="17" t="s">
        <v>17</v>
      </c>
      <c r="B20" s="17" t="s">
        <v>18</v>
      </c>
      <c r="D20" s="29">
        <v>0</v>
      </c>
      <c r="E20" s="29">
        <v>0</v>
      </c>
      <c r="F20" s="29">
        <v>1</v>
      </c>
      <c r="G20" s="29">
        <v>1</v>
      </c>
      <c r="H20" s="29">
        <v>2</v>
      </c>
      <c r="I20" s="29">
        <v>2</v>
      </c>
      <c r="J20" s="29">
        <v>2</v>
      </c>
      <c r="K20" s="29">
        <v>3</v>
      </c>
      <c r="L20" s="29">
        <v>3</v>
      </c>
      <c r="M20" s="29">
        <v>4</v>
      </c>
      <c r="N20" s="29">
        <v>4</v>
      </c>
      <c r="O20" s="29">
        <v>4</v>
      </c>
      <c r="P20" s="29">
        <v>5</v>
      </c>
      <c r="Q20" s="29">
        <v>5</v>
      </c>
      <c r="R20" s="29">
        <v>6</v>
      </c>
      <c r="S20" s="29">
        <v>6</v>
      </c>
      <c r="T20" s="29">
        <v>6</v>
      </c>
      <c r="U20" s="29">
        <v>7</v>
      </c>
      <c r="V20" s="29">
        <v>7</v>
      </c>
      <c r="W20" s="29">
        <v>8</v>
      </c>
      <c r="X20" s="29">
        <v>8</v>
      </c>
      <c r="Y20" s="29">
        <v>8</v>
      </c>
      <c r="Z20" s="29">
        <v>9</v>
      </c>
      <c r="AA20" s="29">
        <v>9</v>
      </c>
      <c r="AB20" s="29">
        <v>10</v>
      </c>
      <c r="AC20" s="29">
        <v>10</v>
      </c>
      <c r="AD20" s="29">
        <v>10</v>
      </c>
      <c r="AE20" s="29">
        <v>11</v>
      </c>
      <c r="AF20" s="29">
        <v>11</v>
      </c>
      <c r="AG20" s="29">
        <v>12</v>
      </c>
      <c r="AH20" s="29">
        <v>12</v>
      </c>
    </row>
    <row r="21" spans="1:34" x14ac:dyDescent="0.25">
      <c r="A21" s="17" t="s">
        <v>18</v>
      </c>
      <c r="B21" s="17" t="s">
        <v>19</v>
      </c>
      <c r="D21" s="29">
        <v>0</v>
      </c>
      <c r="E21" s="29">
        <v>-1</v>
      </c>
      <c r="F21" s="29">
        <v>-1</v>
      </c>
      <c r="G21" s="29">
        <v>-2</v>
      </c>
      <c r="H21" s="29">
        <v>-3</v>
      </c>
      <c r="I21" s="29">
        <v>-4</v>
      </c>
      <c r="J21" s="29">
        <v>-4</v>
      </c>
      <c r="K21" s="29">
        <v>-5</v>
      </c>
      <c r="L21" s="29">
        <v>-6</v>
      </c>
      <c r="M21" s="29">
        <v>-7</v>
      </c>
      <c r="N21" s="29">
        <v>-7</v>
      </c>
      <c r="O21" s="29">
        <v>-8</v>
      </c>
      <c r="P21" s="29">
        <v>-9</v>
      </c>
      <c r="Q21" s="29">
        <v>-10</v>
      </c>
      <c r="R21" s="29">
        <v>-10</v>
      </c>
      <c r="S21" s="29">
        <v>-11</v>
      </c>
      <c r="T21" s="29">
        <v>-12</v>
      </c>
      <c r="U21" s="29">
        <v>-12</v>
      </c>
      <c r="V21" s="29">
        <v>-13</v>
      </c>
      <c r="W21" s="29">
        <v>-14</v>
      </c>
      <c r="X21" s="29">
        <v>-15</v>
      </c>
      <c r="Y21" s="29">
        <v>-15</v>
      </c>
      <c r="Z21" s="29">
        <v>-16</v>
      </c>
      <c r="AA21" s="29">
        <v>-17</v>
      </c>
      <c r="AB21" s="29">
        <v>-18</v>
      </c>
      <c r="AC21" s="29">
        <v>-18</v>
      </c>
      <c r="AD21" s="29">
        <v>-19</v>
      </c>
      <c r="AE21" s="29">
        <v>-20</v>
      </c>
      <c r="AF21" s="29">
        <v>-21</v>
      </c>
      <c r="AG21" s="29">
        <v>-21</v>
      </c>
      <c r="AH21" s="29">
        <v>-22</v>
      </c>
    </row>
    <row r="22" spans="1:34" x14ac:dyDescent="0.25">
      <c r="A22" s="17" t="s">
        <v>47</v>
      </c>
      <c r="B22" s="17" t="s">
        <v>20</v>
      </c>
      <c r="D22" s="29">
        <v>0</v>
      </c>
      <c r="E22" s="29">
        <v>0</v>
      </c>
      <c r="F22" s="29">
        <v>-1</v>
      </c>
      <c r="G22" s="29">
        <v>-1</v>
      </c>
      <c r="H22" s="29">
        <v>-2</v>
      </c>
      <c r="I22" s="29">
        <v>-2</v>
      </c>
      <c r="J22" s="29">
        <v>-3</v>
      </c>
      <c r="K22" s="29">
        <v>-3</v>
      </c>
      <c r="L22" s="29">
        <v>-3</v>
      </c>
      <c r="M22" s="29">
        <v>-3</v>
      </c>
      <c r="N22" s="29">
        <v>-4</v>
      </c>
      <c r="O22" s="29">
        <v>-4</v>
      </c>
      <c r="P22" s="29">
        <v>-5</v>
      </c>
      <c r="Q22" s="29">
        <v>-5</v>
      </c>
      <c r="R22" s="29">
        <v>-6</v>
      </c>
      <c r="S22" s="29">
        <v>-6</v>
      </c>
      <c r="T22" s="29">
        <v>-6</v>
      </c>
      <c r="U22" s="29">
        <v>-7</v>
      </c>
      <c r="V22" s="29">
        <v>-7</v>
      </c>
      <c r="W22" s="29">
        <v>-8</v>
      </c>
      <c r="X22" s="29">
        <v>-8</v>
      </c>
      <c r="Y22" s="29">
        <v>-9</v>
      </c>
      <c r="Z22" s="29">
        <v>-9</v>
      </c>
      <c r="AA22" s="29">
        <v>-9</v>
      </c>
      <c r="AB22" s="29">
        <v>-9</v>
      </c>
      <c r="AC22" s="29">
        <v>-10</v>
      </c>
      <c r="AD22" s="29">
        <v>-10</v>
      </c>
      <c r="AE22" s="29">
        <v>-11</v>
      </c>
      <c r="AF22" s="29">
        <v>-11</v>
      </c>
      <c r="AG22" s="29">
        <v>-12</v>
      </c>
      <c r="AH22" s="29">
        <v>-12</v>
      </c>
    </row>
  </sheetData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</sheetPr>
  <dimension ref="A1:AH22"/>
  <sheetViews>
    <sheetView workbookViewId="0"/>
  </sheetViews>
  <sheetFormatPr baseColWidth="10" defaultColWidth="11.19921875" defaultRowHeight="13.8" x14ac:dyDescent="0.25"/>
  <cols>
    <col min="1" max="1" width="12.69921875" style="17" customWidth="1"/>
    <col min="2" max="16384" width="11.19921875" style="17"/>
  </cols>
  <sheetData>
    <row r="1" spans="1:34" x14ac:dyDescent="0.25">
      <c r="A1" s="17" t="s">
        <v>43</v>
      </c>
      <c r="B1" s="17" t="s">
        <v>44</v>
      </c>
      <c r="C1" s="20" t="s">
        <v>45</v>
      </c>
      <c r="D1" s="29">
        <v>0</v>
      </c>
      <c r="E1" s="29">
        <v>5000</v>
      </c>
      <c r="F1" s="29">
        <v>10000</v>
      </c>
      <c r="G1" s="29">
        <v>15000</v>
      </c>
      <c r="H1" s="29">
        <v>20000</v>
      </c>
      <c r="I1" s="29">
        <v>25000</v>
      </c>
      <c r="J1" s="29">
        <v>30000</v>
      </c>
      <c r="K1" s="29">
        <v>35000</v>
      </c>
      <c r="L1" s="29">
        <v>40000</v>
      </c>
      <c r="M1" s="29">
        <v>45000</v>
      </c>
      <c r="N1" s="29">
        <v>50000</v>
      </c>
      <c r="O1" s="29">
        <v>55000</v>
      </c>
      <c r="P1" s="29">
        <v>60000</v>
      </c>
      <c r="Q1" s="29">
        <v>65000</v>
      </c>
      <c r="R1" s="29">
        <v>70000</v>
      </c>
      <c r="S1" s="29">
        <v>75000</v>
      </c>
      <c r="T1" s="29">
        <v>80000</v>
      </c>
      <c r="U1" s="29">
        <v>85000</v>
      </c>
      <c r="V1" s="29">
        <v>90000</v>
      </c>
      <c r="W1" s="29">
        <v>95000</v>
      </c>
      <c r="X1" s="29">
        <v>100000</v>
      </c>
      <c r="Y1" s="29">
        <v>105000</v>
      </c>
      <c r="Z1" s="29">
        <v>110000</v>
      </c>
      <c r="AA1" s="29">
        <v>115000</v>
      </c>
      <c r="AB1" s="29">
        <v>120000</v>
      </c>
      <c r="AC1" s="29">
        <v>125000</v>
      </c>
      <c r="AD1" s="29">
        <v>130000</v>
      </c>
      <c r="AE1" s="29">
        <v>135000</v>
      </c>
      <c r="AF1" s="29">
        <v>140000</v>
      </c>
      <c r="AG1" s="29">
        <v>145000</v>
      </c>
      <c r="AH1" s="29">
        <v>150000</v>
      </c>
    </row>
    <row r="2" spans="1:34" x14ac:dyDescent="0.25">
      <c r="A2" s="17" t="s">
        <v>48</v>
      </c>
      <c r="B2" s="20" t="s">
        <v>7</v>
      </c>
      <c r="C2" s="20"/>
      <c r="D2" s="29">
        <v>0</v>
      </c>
      <c r="E2" s="29">
        <v>325</v>
      </c>
      <c r="F2" s="29">
        <v>651</v>
      </c>
      <c r="G2" s="29">
        <v>976</v>
      </c>
      <c r="H2" s="29">
        <v>1302</v>
      </c>
      <c r="I2" s="29">
        <v>1627</v>
      </c>
      <c r="J2" s="29">
        <v>1952</v>
      </c>
      <c r="K2" s="29">
        <v>2278</v>
      </c>
      <c r="L2" s="29">
        <v>2603</v>
      </c>
      <c r="M2" s="29">
        <v>2929</v>
      </c>
      <c r="N2" s="29">
        <v>3254</v>
      </c>
      <c r="O2" s="29">
        <v>3579</v>
      </c>
      <c r="P2" s="29">
        <v>3905</v>
      </c>
      <c r="Q2" s="29">
        <v>4230</v>
      </c>
      <c r="R2" s="29">
        <v>4556</v>
      </c>
      <c r="S2" s="29">
        <v>4881</v>
      </c>
      <c r="T2" s="29">
        <v>5206</v>
      </c>
      <c r="U2" s="29">
        <v>5532</v>
      </c>
      <c r="V2" s="29">
        <v>5857</v>
      </c>
      <c r="W2" s="29">
        <v>6183</v>
      </c>
      <c r="X2" s="29">
        <v>6508</v>
      </c>
      <c r="Y2" s="29">
        <v>6833</v>
      </c>
      <c r="Z2" s="29">
        <v>7159</v>
      </c>
      <c r="AA2" s="29">
        <v>7484</v>
      </c>
      <c r="AB2" s="29">
        <v>7810</v>
      </c>
      <c r="AC2" s="29">
        <v>8135</v>
      </c>
      <c r="AD2" s="29">
        <v>8460</v>
      </c>
      <c r="AE2" s="29">
        <v>8786</v>
      </c>
      <c r="AF2" s="29">
        <v>9111</v>
      </c>
      <c r="AG2" s="29">
        <v>9437</v>
      </c>
      <c r="AH2" s="29">
        <v>9762</v>
      </c>
    </row>
    <row r="3" spans="1:34" x14ac:dyDescent="0.25">
      <c r="A3" s="17" t="s">
        <v>7</v>
      </c>
      <c r="B3" s="27" t="s">
        <v>8</v>
      </c>
      <c r="C3" s="27"/>
      <c r="D3" s="29">
        <v>0</v>
      </c>
      <c r="E3" s="29">
        <v>631</v>
      </c>
      <c r="F3" s="29">
        <v>1263</v>
      </c>
      <c r="G3" s="29">
        <v>1894</v>
      </c>
      <c r="H3" s="29">
        <v>2526</v>
      </c>
      <c r="I3" s="29">
        <v>3157</v>
      </c>
      <c r="J3" s="29">
        <v>3788</v>
      </c>
      <c r="K3" s="29">
        <v>4420</v>
      </c>
      <c r="L3" s="29">
        <v>5051</v>
      </c>
      <c r="M3" s="29">
        <v>5682</v>
      </c>
      <c r="N3" s="29">
        <v>6314</v>
      </c>
      <c r="O3" s="29">
        <v>6945</v>
      </c>
      <c r="P3" s="29">
        <v>7577</v>
      </c>
      <c r="Q3" s="29">
        <v>8208</v>
      </c>
      <c r="R3" s="29">
        <v>8839</v>
      </c>
      <c r="S3" s="29">
        <v>9471</v>
      </c>
      <c r="T3" s="29">
        <v>10102</v>
      </c>
      <c r="U3" s="29">
        <v>10733</v>
      </c>
      <c r="V3" s="29">
        <v>11365</v>
      </c>
      <c r="W3" s="29">
        <v>11996</v>
      </c>
      <c r="X3" s="29">
        <v>12628</v>
      </c>
      <c r="Y3" s="29">
        <v>13259</v>
      </c>
      <c r="Z3" s="29">
        <v>13890</v>
      </c>
      <c r="AA3" s="29">
        <v>14522</v>
      </c>
      <c r="AB3" s="29">
        <v>15153</v>
      </c>
      <c r="AC3" s="29">
        <v>15784</v>
      </c>
      <c r="AD3" s="29">
        <v>16416</v>
      </c>
      <c r="AE3" s="29">
        <v>17047</v>
      </c>
      <c r="AF3" s="29">
        <v>17679</v>
      </c>
      <c r="AG3" s="29">
        <v>18310</v>
      </c>
      <c r="AH3" s="29">
        <v>18941</v>
      </c>
    </row>
    <row r="4" spans="1:34" x14ac:dyDescent="0.25">
      <c r="A4" s="17" t="s">
        <v>8</v>
      </c>
      <c r="B4" s="19" t="s">
        <v>9</v>
      </c>
      <c r="C4" s="19"/>
      <c r="D4" s="29">
        <v>0</v>
      </c>
      <c r="E4" s="29">
        <v>568</v>
      </c>
      <c r="F4" s="29">
        <v>1137</v>
      </c>
      <c r="G4" s="29">
        <v>1705</v>
      </c>
      <c r="H4" s="29">
        <v>2273</v>
      </c>
      <c r="I4" s="29">
        <v>2841</v>
      </c>
      <c r="J4" s="29">
        <v>3410</v>
      </c>
      <c r="K4" s="29">
        <v>3978</v>
      </c>
      <c r="L4" s="29">
        <v>4546</v>
      </c>
      <c r="M4" s="29">
        <v>5115</v>
      </c>
      <c r="N4" s="29">
        <v>5683</v>
      </c>
      <c r="O4" s="29">
        <v>6251</v>
      </c>
      <c r="P4" s="29">
        <v>6819</v>
      </c>
      <c r="Q4" s="29">
        <v>7388</v>
      </c>
      <c r="R4" s="29">
        <v>7956</v>
      </c>
      <c r="S4" s="29">
        <v>8524</v>
      </c>
      <c r="T4" s="29">
        <v>9093</v>
      </c>
      <c r="U4" s="29">
        <v>9661</v>
      </c>
      <c r="V4" s="29">
        <v>10229</v>
      </c>
      <c r="W4" s="29">
        <v>10797</v>
      </c>
      <c r="X4" s="29">
        <v>11366</v>
      </c>
      <c r="Y4" s="29">
        <v>11934</v>
      </c>
      <c r="Z4" s="29">
        <v>12502</v>
      </c>
      <c r="AA4" s="29">
        <v>13071</v>
      </c>
      <c r="AB4" s="29">
        <v>13639</v>
      </c>
      <c r="AC4" s="29">
        <v>14207</v>
      </c>
      <c r="AD4" s="29">
        <v>14775</v>
      </c>
      <c r="AE4" s="29">
        <v>15344</v>
      </c>
      <c r="AF4" s="29">
        <v>15912</v>
      </c>
      <c r="AG4" s="29">
        <v>16480</v>
      </c>
      <c r="AH4" s="29">
        <v>17049</v>
      </c>
    </row>
    <row r="5" spans="1:34" x14ac:dyDescent="0.25">
      <c r="A5" s="17" t="s">
        <v>9</v>
      </c>
      <c r="B5" s="17" t="s">
        <v>0</v>
      </c>
      <c r="D5" s="29">
        <v>0</v>
      </c>
      <c r="E5" s="29">
        <v>669</v>
      </c>
      <c r="F5" s="29">
        <v>1337</v>
      </c>
      <c r="G5" s="29">
        <v>2006</v>
      </c>
      <c r="H5" s="29">
        <v>2675</v>
      </c>
      <c r="I5" s="29">
        <v>3343</v>
      </c>
      <c r="J5" s="29">
        <v>4012</v>
      </c>
      <c r="K5" s="29">
        <v>4680</v>
      </c>
      <c r="L5" s="29">
        <v>5349</v>
      </c>
      <c r="M5" s="29">
        <v>6018</v>
      </c>
      <c r="N5" s="29">
        <v>6686</v>
      </c>
      <c r="O5" s="29">
        <v>7355</v>
      </c>
      <c r="P5" s="29">
        <v>8024</v>
      </c>
      <c r="Q5" s="29">
        <v>8692</v>
      </c>
      <c r="R5" s="29">
        <v>9361</v>
      </c>
      <c r="S5" s="29">
        <v>10029</v>
      </c>
      <c r="T5" s="29">
        <v>10698</v>
      </c>
      <c r="U5" s="29">
        <v>11367</v>
      </c>
      <c r="V5" s="29">
        <v>12035</v>
      </c>
      <c r="W5" s="29">
        <v>12704</v>
      </c>
      <c r="X5" s="29">
        <v>13373</v>
      </c>
      <c r="Y5" s="29">
        <v>14041</v>
      </c>
      <c r="Z5" s="29">
        <v>14710</v>
      </c>
      <c r="AA5" s="29">
        <v>15379</v>
      </c>
      <c r="AB5" s="29">
        <v>16047</v>
      </c>
      <c r="AC5" s="29">
        <v>16716</v>
      </c>
      <c r="AD5" s="29">
        <v>17384</v>
      </c>
      <c r="AE5" s="29">
        <v>18053</v>
      </c>
      <c r="AF5" s="29">
        <v>18722</v>
      </c>
      <c r="AG5" s="29">
        <v>19390</v>
      </c>
      <c r="AH5" s="29">
        <v>20059</v>
      </c>
    </row>
    <row r="6" spans="1:34" x14ac:dyDescent="0.25">
      <c r="A6" s="17" t="s">
        <v>0</v>
      </c>
      <c r="B6" s="17" t="s">
        <v>1</v>
      </c>
      <c r="D6" s="29">
        <v>0</v>
      </c>
      <c r="E6" s="29">
        <v>1554</v>
      </c>
      <c r="F6" s="29">
        <v>3108</v>
      </c>
      <c r="G6" s="29">
        <v>4662</v>
      </c>
      <c r="H6" s="29">
        <v>6215</v>
      </c>
      <c r="I6" s="29">
        <v>7769</v>
      </c>
      <c r="J6" s="29">
        <v>9323</v>
      </c>
      <c r="K6" s="29">
        <v>10877</v>
      </c>
      <c r="L6" s="29">
        <v>12431</v>
      </c>
      <c r="M6" s="29">
        <v>13985</v>
      </c>
      <c r="N6" s="29">
        <v>15538</v>
      </c>
      <c r="O6" s="29">
        <v>17092</v>
      </c>
      <c r="P6" s="29">
        <v>18646</v>
      </c>
      <c r="Q6" s="29">
        <v>20200</v>
      </c>
      <c r="R6" s="29">
        <v>21754</v>
      </c>
      <c r="S6" s="29">
        <v>23308</v>
      </c>
      <c r="T6" s="29">
        <v>24862</v>
      </c>
      <c r="U6" s="29">
        <v>26415</v>
      </c>
      <c r="V6" s="29">
        <v>27969</v>
      </c>
      <c r="W6" s="29">
        <v>29523</v>
      </c>
      <c r="X6" s="29">
        <v>31077</v>
      </c>
      <c r="Y6" s="29">
        <v>32631</v>
      </c>
      <c r="Z6" s="29">
        <v>34185</v>
      </c>
      <c r="AA6" s="29">
        <v>35738</v>
      </c>
      <c r="AB6" s="29">
        <v>37292</v>
      </c>
      <c r="AC6" s="29">
        <v>38846</v>
      </c>
      <c r="AD6" s="29">
        <v>40400</v>
      </c>
      <c r="AE6" s="29">
        <v>41954</v>
      </c>
      <c r="AF6" s="29">
        <v>43508</v>
      </c>
      <c r="AG6" s="29">
        <v>45062</v>
      </c>
      <c r="AH6" s="29">
        <v>46615</v>
      </c>
    </row>
    <row r="7" spans="1:34" x14ac:dyDescent="0.25">
      <c r="A7" s="17" t="s">
        <v>1</v>
      </c>
      <c r="B7" s="17" t="s">
        <v>2</v>
      </c>
      <c r="D7" s="29">
        <v>0</v>
      </c>
      <c r="E7" s="29">
        <v>2652</v>
      </c>
      <c r="F7" s="29">
        <v>5304</v>
      </c>
      <c r="G7" s="29">
        <v>7958</v>
      </c>
      <c r="H7" s="29">
        <v>10611</v>
      </c>
      <c r="I7" s="29">
        <v>13264</v>
      </c>
      <c r="J7" s="29">
        <v>15915</v>
      </c>
      <c r="K7" s="29">
        <v>18568</v>
      </c>
      <c r="L7" s="29">
        <v>21223</v>
      </c>
      <c r="M7" s="29">
        <v>23874</v>
      </c>
      <c r="N7" s="29">
        <v>26527</v>
      </c>
      <c r="O7" s="29">
        <v>29179</v>
      </c>
      <c r="P7" s="29">
        <v>31833</v>
      </c>
      <c r="Q7" s="29">
        <v>34486</v>
      </c>
      <c r="R7" s="29">
        <v>37138</v>
      </c>
      <c r="S7" s="29">
        <v>39791</v>
      </c>
      <c r="T7" s="29">
        <v>42444</v>
      </c>
      <c r="U7" s="29">
        <v>45096</v>
      </c>
      <c r="V7" s="29">
        <v>47749</v>
      </c>
      <c r="W7" s="29">
        <v>50402</v>
      </c>
      <c r="X7" s="29">
        <v>53053</v>
      </c>
      <c r="Y7" s="29">
        <v>55706</v>
      </c>
      <c r="Z7" s="29">
        <v>58360</v>
      </c>
      <c r="AA7" s="29">
        <v>61012</v>
      </c>
      <c r="AB7" s="29">
        <v>63665</v>
      </c>
      <c r="AC7" s="29">
        <v>66317</v>
      </c>
      <c r="AD7" s="29">
        <v>68971</v>
      </c>
      <c r="AE7" s="29">
        <v>71624</v>
      </c>
      <c r="AF7" s="29">
        <v>74275</v>
      </c>
      <c r="AG7" s="29">
        <v>76927</v>
      </c>
      <c r="AH7" s="29">
        <v>79580</v>
      </c>
    </row>
    <row r="8" spans="1:34" x14ac:dyDescent="0.25">
      <c r="A8" s="17" t="s">
        <v>2</v>
      </c>
      <c r="B8" s="17" t="s">
        <v>3</v>
      </c>
      <c r="D8" s="29">
        <v>0</v>
      </c>
      <c r="E8" s="29">
        <v>2399</v>
      </c>
      <c r="F8" s="29">
        <v>4798</v>
      </c>
      <c r="G8" s="29">
        <v>7198</v>
      </c>
      <c r="H8" s="29">
        <v>9597</v>
      </c>
      <c r="I8" s="29">
        <v>11997</v>
      </c>
      <c r="J8" s="29">
        <v>14396</v>
      </c>
      <c r="K8" s="29">
        <v>16795</v>
      </c>
      <c r="L8" s="29">
        <v>19195</v>
      </c>
      <c r="M8" s="29">
        <v>21594</v>
      </c>
      <c r="N8" s="29">
        <v>23993</v>
      </c>
      <c r="O8" s="29">
        <v>26393</v>
      </c>
      <c r="P8" s="29">
        <v>28792</v>
      </c>
      <c r="Q8" s="29">
        <v>31191</v>
      </c>
      <c r="R8" s="29">
        <v>33591</v>
      </c>
      <c r="S8" s="29">
        <v>35990</v>
      </c>
      <c r="T8" s="29">
        <v>38389</v>
      </c>
      <c r="U8" s="29">
        <v>40789</v>
      </c>
      <c r="V8" s="29">
        <v>43188</v>
      </c>
      <c r="W8" s="29">
        <v>45587</v>
      </c>
      <c r="X8" s="29">
        <v>47987</v>
      </c>
      <c r="Y8" s="29">
        <v>50386</v>
      </c>
      <c r="Z8" s="29">
        <v>52785</v>
      </c>
      <c r="AA8" s="29">
        <v>55185</v>
      </c>
      <c r="AB8" s="29">
        <v>57584</v>
      </c>
      <c r="AC8" s="29">
        <v>59983</v>
      </c>
      <c r="AD8" s="29">
        <v>62383</v>
      </c>
      <c r="AE8" s="29">
        <v>64783</v>
      </c>
      <c r="AF8" s="29">
        <v>67181</v>
      </c>
      <c r="AG8" s="29">
        <v>69581</v>
      </c>
      <c r="AH8" s="29">
        <v>71980</v>
      </c>
    </row>
    <row r="9" spans="1:34" x14ac:dyDescent="0.25">
      <c r="A9" s="17" t="s">
        <v>3</v>
      </c>
      <c r="B9" s="17" t="s">
        <v>4</v>
      </c>
      <c r="D9" s="29">
        <v>0</v>
      </c>
      <c r="E9" s="29">
        <v>1481</v>
      </c>
      <c r="F9" s="29">
        <v>2962</v>
      </c>
      <c r="G9" s="29">
        <v>4443</v>
      </c>
      <c r="H9" s="29">
        <v>5924</v>
      </c>
      <c r="I9" s="29">
        <v>7405</v>
      </c>
      <c r="J9" s="29">
        <v>8886</v>
      </c>
      <c r="K9" s="29">
        <v>10367</v>
      </c>
      <c r="L9" s="29">
        <v>11848</v>
      </c>
      <c r="M9" s="29">
        <v>13328</v>
      </c>
      <c r="N9" s="29">
        <v>14809</v>
      </c>
      <c r="O9" s="29">
        <v>16290</v>
      </c>
      <c r="P9" s="29">
        <v>17771</v>
      </c>
      <c r="Q9" s="29">
        <v>19252</v>
      </c>
      <c r="R9" s="29">
        <v>20733</v>
      </c>
      <c r="S9" s="29">
        <v>22214</v>
      </c>
      <c r="T9" s="29">
        <v>23695</v>
      </c>
      <c r="U9" s="29">
        <v>25176</v>
      </c>
      <c r="V9" s="29">
        <v>26657</v>
      </c>
      <c r="W9" s="29">
        <v>28138</v>
      </c>
      <c r="X9" s="29">
        <v>29619</v>
      </c>
      <c r="Y9" s="29">
        <v>31100</v>
      </c>
      <c r="Z9" s="29">
        <v>32581</v>
      </c>
      <c r="AA9" s="29">
        <v>34062</v>
      </c>
      <c r="AB9" s="29">
        <v>35543</v>
      </c>
      <c r="AC9" s="29">
        <v>37024</v>
      </c>
      <c r="AD9" s="29">
        <v>38504</v>
      </c>
      <c r="AE9" s="29">
        <v>39985</v>
      </c>
      <c r="AF9" s="29">
        <v>41466</v>
      </c>
      <c r="AG9" s="29">
        <v>42947</v>
      </c>
      <c r="AH9" s="29">
        <v>44428</v>
      </c>
    </row>
    <row r="10" spans="1:34" x14ac:dyDescent="0.25">
      <c r="A10" s="17" t="s">
        <v>4</v>
      </c>
      <c r="B10" s="17" t="s">
        <v>5</v>
      </c>
      <c r="D10" s="29">
        <v>0</v>
      </c>
      <c r="E10" s="29">
        <v>1011</v>
      </c>
      <c r="F10" s="29">
        <v>2022</v>
      </c>
      <c r="G10" s="29">
        <v>3033</v>
      </c>
      <c r="H10" s="29">
        <v>4045</v>
      </c>
      <c r="I10" s="29">
        <v>5056</v>
      </c>
      <c r="J10" s="29">
        <v>6067</v>
      </c>
      <c r="K10" s="29">
        <v>7078</v>
      </c>
      <c r="L10" s="29">
        <v>8089</v>
      </c>
      <c r="M10" s="29">
        <v>9100</v>
      </c>
      <c r="N10" s="29">
        <v>10111</v>
      </c>
      <c r="O10" s="29">
        <v>11122</v>
      </c>
      <c r="P10" s="29">
        <v>12134</v>
      </c>
      <c r="Q10" s="29">
        <v>13145</v>
      </c>
      <c r="R10" s="29">
        <v>14156</v>
      </c>
      <c r="S10" s="29">
        <v>15167</v>
      </c>
      <c r="T10" s="29">
        <v>16178</v>
      </c>
      <c r="U10" s="29">
        <v>17189</v>
      </c>
      <c r="V10" s="29">
        <v>18200</v>
      </c>
      <c r="W10" s="29">
        <v>19211</v>
      </c>
      <c r="X10" s="29">
        <v>20223</v>
      </c>
      <c r="Y10" s="29">
        <v>21234</v>
      </c>
      <c r="Z10" s="29">
        <v>22245</v>
      </c>
      <c r="AA10" s="29">
        <v>23256</v>
      </c>
      <c r="AB10" s="29">
        <v>24267</v>
      </c>
      <c r="AC10" s="29">
        <v>25278</v>
      </c>
      <c r="AD10" s="29">
        <v>26289</v>
      </c>
      <c r="AE10" s="29">
        <v>27300</v>
      </c>
      <c r="AF10" s="29">
        <v>28312</v>
      </c>
      <c r="AG10" s="29">
        <v>29323</v>
      </c>
      <c r="AH10" s="29">
        <v>30334</v>
      </c>
    </row>
    <row r="11" spans="1:34" x14ac:dyDescent="0.25">
      <c r="A11" s="17" t="s">
        <v>5</v>
      </c>
      <c r="B11" s="17" t="s">
        <v>6</v>
      </c>
      <c r="D11" s="29">
        <v>0</v>
      </c>
      <c r="E11" s="29">
        <v>684</v>
      </c>
      <c r="F11" s="29">
        <v>1368</v>
      </c>
      <c r="G11" s="29">
        <v>2051</v>
      </c>
      <c r="H11" s="29">
        <v>2735</v>
      </c>
      <c r="I11" s="29">
        <v>3419</v>
      </c>
      <c r="J11" s="29">
        <v>4103</v>
      </c>
      <c r="K11" s="29">
        <v>4787</v>
      </c>
      <c r="L11" s="29">
        <v>5470</v>
      </c>
      <c r="M11" s="29">
        <v>6154</v>
      </c>
      <c r="N11" s="29">
        <v>6838</v>
      </c>
      <c r="O11" s="29">
        <v>7522</v>
      </c>
      <c r="P11" s="29">
        <v>8205</v>
      </c>
      <c r="Q11" s="29">
        <v>8889</v>
      </c>
      <c r="R11" s="29">
        <v>9573</v>
      </c>
      <c r="S11" s="29">
        <v>10257</v>
      </c>
      <c r="T11" s="29">
        <v>10941</v>
      </c>
      <c r="U11" s="29">
        <v>11624</v>
      </c>
      <c r="V11" s="29">
        <v>12308</v>
      </c>
      <c r="W11" s="29">
        <v>12992</v>
      </c>
      <c r="X11" s="29">
        <v>13676</v>
      </c>
      <c r="Y11" s="29">
        <v>14360</v>
      </c>
      <c r="Z11" s="29">
        <v>15043</v>
      </c>
      <c r="AA11" s="29">
        <v>15727</v>
      </c>
      <c r="AB11" s="29">
        <v>16411</v>
      </c>
      <c r="AC11" s="29">
        <v>17095</v>
      </c>
      <c r="AD11" s="29">
        <v>17778</v>
      </c>
      <c r="AE11" s="29">
        <v>18462</v>
      </c>
      <c r="AF11" s="29">
        <v>19146</v>
      </c>
      <c r="AG11" s="29">
        <v>19830</v>
      </c>
      <c r="AH11" s="29">
        <v>20514</v>
      </c>
    </row>
    <row r="12" spans="1:34" x14ac:dyDescent="0.25">
      <c r="A12" s="17" t="s">
        <v>6</v>
      </c>
      <c r="B12" s="17" t="s">
        <v>10</v>
      </c>
      <c r="D12" s="29">
        <v>0</v>
      </c>
      <c r="E12" s="29">
        <v>387</v>
      </c>
      <c r="F12" s="29">
        <v>773</v>
      </c>
      <c r="G12" s="29">
        <v>1160</v>
      </c>
      <c r="H12" s="29">
        <v>1546</v>
      </c>
      <c r="I12" s="29">
        <v>1933</v>
      </c>
      <c r="J12" s="29">
        <v>2319</v>
      </c>
      <c r="K12" s="29">
        <v>2706</v>
      </c>
      <c r="L12" s="29">
        <v>3092</v>
      </c>
      <c r="M12" s="29">
        <v>3479</v>
      </c>
      <c r="N12" s="29">
        <v>3866</v>
      </c>
      <c r="O12" s="29">
        <v>4252</v>
      </c>
      <c r="P12" s="29">
        <v>4639</v>
      </c>
      <c r="Q12" s="29">
        <v>5025</v>
      </c>
      <c r="R12" s="29">
        <v>5412</v>
      </c>
      <c r="S12" s="29">
        <v>5798</v>
      </c>
      <c r="T12" s="29">
        <v>6185</v>
      </c>
      <c r="U12" s="29">
        <v>6571</v>
      </c>
      <c r="V12" s="29">
        <v>6958</v>
      </c>
      <c r="W12" s="29">
        <v>7345</v>
      </c>
      <c r="X12" s="29">
        <v>7731</v>
      </c>
      <c r="Y12" s="29">
        <v>8118</v>
      </c>
      <c r="Z12" s="29">
        <v>8504</v>
      </c>
      <c r="AA12" s="29">
        <v>8891</v>
      </c>
      <c r="AB12" s="29">
        <v>9277</v>
      </c>
      <c r="AC12" s="29">
        <v>9664</v>
      </c>
      <c r="AD12" s="29">
        <v>10051</v>
      </c>
      <c r="AE12" s="29">
        <v>10437</v>
      </c>
      <c r="AF12" s="29">
        <v>10824</v>
      </c>
      <c r="AG12" s="29">
        <v>11210</v>
      </c>
      <c r="AH12" s="29">
        <v>11597</v>
      </c>
    </row>
    <row r="13" spans="1:34" x14ac:dyDescent="0.25">
      <c r="A13" s="17" t="s">
        <v>10</v>
      </c>
      <c r="B13" s="17" t="s">
        <v>11</v>
      </c>
      <c r="D13" s="29">
        <v>0</v>
      </c>
      <c r="E13" s="29">
        <v>85</v>
      </c>
      <c r="F13" s="29">
        <v>170</v>
      </c>
      <c r="G13" s="29">
        <v>254</v>
      </c>
      <c r="H13" s="29">
        <v>339</v>
      </c>
      <c r="I13" s="29">
        <v>424</v>
      </c>
      <c r="J13" s="29">
        <v>509</v>
      </c>
      <c r="K13" s="29">
        <v>594</v>
      </c>
      <c r="L13" s="29">
        <v>678</v>
      </c>
      <c r="M13" s="29">
        <v>763</v>
      </c>
      <c r="N13" s="29">
        <v>848</v>
      </c>
      <c r="O13" s="29">
        <v>933</v>
      </c>
      <c r="P13" s="29">
        <v>1017</v>
      </c>
      <c r="Q13" s="29">
        <v>1102</v>
      </c>
      <c r="R13" s="29">
        <v>1187</v>
      </c>
      <c r="S13" s="29">
        <v>1272</v>
      </c>
      <c r="T13" s="29">
        <v>1357</v>
      </c>
      <c r="U13" s="29">
        <v>1441</v>
      </c>
      <c r="V13" s="29">
        <v>1526</v>
      </c>
      <c r="W13" s="29">
        <v>1611</v>
      </c>
      <c r="X13" s="29">
        <v>1696</v>
      </c>
      <c r="Y13" s="29">
        <v>1781</v>
      </c>
      <c r="Z13" s="29">
        <v>1865</v>
      </c>
      <c r="AA13" s="29">
        <v>1950</v>
      </c>
      <c r="AB13" s="29">
        <v>2035</v>
      </c>
      <c r="AC13" s="29">
        <v>2120</v>
      </c>
      <c r="AD13" s="29">
        <v>2205</v>
      </c>
      <c r="AE13" s="29">
        <v>2289</v>
      </c>
      <c r="AF13" s="29">
        <v>2374</v>
      </c>
      <c r="AG13" s="29">
        <v>2459</v>
      </c>
      <c r="AH13" s="29">
        <v>2544</v>
      </c>
    </row>
    <row r="14" spans="1:34" x14ac:dyDescent="0.25">
      <c r="A14" s="17" t="s">
        <v>11</v>
      </c>
      <c r="B14" s="17" t="s">
        <v>12</v>
      </c>
      <c r="D14" s="29">
        <v>0</v>
      </c>
      <c r="E14" s="29">
        <v>-125</v>
      </c>
      <c r="F14" s="29">
        <v>-250</v>
      </c>
      <c r="G14" s="29">
        <v>-376</v>
      </c>
      <c r="H14" s="29">
        <v>-501</v>
      </c>
      <c r="I14" s="29">
        <v>-626</v>
      </c>
      <c r="J14" s="29">
        <v>-751</v>
      </c>
      <c r="K14" s="29">
        <v>-876</v>
      </c>
      <c r="L14" s="29">
        <v>-1001</v>
      </c>
      <c r="M14" s="29">
        <v>-1127</v>
      </c>
      <c r="N14" s="29">
        <v>-1252</v>
      </c>
      <c r="O14" s="29">
        <v>-1377</v>
      </c>
      <c r="P14" s="29">
        <v>-1502</v>
      </c>
      <c r="Q14" s="29">
        <v>-1627</v>
      </c>
      <c r="R14" s="29">
        <v>-1753</v>
      </c>
      <c r="S14" s="29">
        <v>-1878</v>
      </c>
      <c r="T14" s="29">
        <v>-2003</v>
      </c>
      <c r="U14" s="29">
        <v>-2128</v>
      </c>
      <c r="V14" s="29">
        <v>-2253</v>
      </c>
      <c r="W14" s="29">
        <v>-2378</v>
      </c>
      <c r="X14" s="29">
        <v>-2504</v>
      </c>
      <c r="Y14" s="29">
        <v>-2629</v>
      </c>
      <c r="Z14" s="29">
        <v>-2754</v>
      </c>
      <c r="AA14" s="29">
        <v>-2879</v>
      </c>
      <c r="AB14" s="29">
        <v>-3004</v>
      </c>
      <c r="AC14" s="29">
        <v>-3130</v>
      </c>
      <c r="AD14" s="29">
        <v>-3255</v>
      </c>
      <c r="AE14" s="29">
        <v>-3380</v>
      </c>
      <c r="AF14" s="29">
        <v>-3505</v>
      </c>
      <c r="AG14" s="29">
        <v>-3630</v>
      </c>
      <c r="AH14" s="29">
        <v>-3755</v>
      </c>
    </row>
    <row r="15" spans="1:34" x14ac:dyDescent="0.25">
      <c r="A15" s="17" t="s">
        <v>12</v>
      </c>
      <c r="B15" s="17" t="s">
        <v>13</v>
      </c>
      <c r="D15" s="29">
        <v>0</v>
      </c>
      <c r="E15" s="29">
        <v>-161</v>
      </c>
      <c r="F15" s="29">
        <v>-323</v>
      </c>
      <c r="G15" s="29">
        <v>-484</v>
      </c>
      <c r="H15" s="29">
        <v>-645</v>
      </c>
      <c r="I15" s="29">
        <v>-807</v>
      </c>
      <c r="J15" s="29">
        <v>-968</v>
      </c>
      <c r="K15" s="29">
        <v>-1130</v>
      </c>
      <c r="L15" s="29">
        <v>-1291</v>
      </c>
      <c r="M15" s="29">
        <v>-1452</v>
      </c>
      <c r="N15" s="29">
        <v>-1614</v>
      </c>
      <c r="O15" s="29">
        <v>-1775</v>
      </c>
      <c r="P15" s="29">
        <v>-1936</v>
      </c>
      <c r="Q15" s="29">
        <v>-2098</v>
      </c>
      <c r="R15" s="29">
        <v>-2259</v>
      </c>
      <c r="S15" s="29">
        <v>-2420</v>
      </c>
      <c r="T15" s="29">
        <v>-2582</v>
      </c>
      <c r="U15" s="29">
        <v>-2743</v>
      </c>
      <c r="V15" s="29">
        <v>-2905</v>
      </c>
      <c r="W15" s="29">
        <v>-3066</v>
      </c>
      <c r="X15" s="29">
        <v>-3227</v>
      </c>
      <c r="Y15" s="29">
        <v>-3389</v>
      </c>
      <c r="Z15" s="29">
        <v>-3550</v>
      </c>
      <c r="AA15" s="29">
        <v>-3711</v>
      </c>
      <c r="AB15" s="29">
        <v>-3873</v>
      </c>
      <c r="AC15" s="29">
        <v>-4034</v>
      </c>
      <c r="AD15" s="29">
        <v>-4196</v>
      </c>
      <c r="AE15" s="29">
        <v>-4357</v>
      </c>
      <c r="AF15" s="29">
        <v>-4518</v>
      </c>
      <c r="AG15" s="29">
        <v>-4680</v>
      </c>
      <c r="AH15" s="29">
        <v>-4841</v>
      </c>
    </row>
    <row r="16" spans="1:34" x14ac:dyDescent="0.25">
      <c r="A16" s="17" t="s">
        <v>13</v>
      </c>
      <c r="B16" s="17" t="s">
        <v>14</v>
      </c>
      <c r="D16" s="29">
        <v>0</v>
      </c>
      <c r="E16" s="29">
        <v>-8</v>
      </c>
      <c r="F16" s="29">
        <v>-16</v>
      </c>
      <c r="G16" s="29">
        <v>-24</v>
      </c>
      <c r="H16" s="29">
        <v>-32</v>
      </c>
      <c r="I16" s="29">
        <v>-40</v>
      </c>
      <c r="J16" s="29">
        <v>-48</v>
      </c>
      <c r="K16" s="29">
        <v>-56</v>
      </c>
      <c r="L16" s="29">
        <v>-64</v>
      </c>
      <c r="M16" s="29">
        <v>-72</v>
      </c>
      <c r="N16" s="29">
        <v>-80</v>
      </c>
      <c r="O16" s="29">
        <v>-88</v>
      </c>
      <c r="P16" s="29">
        <v>-96</v>
      </c>
      <c r="Q16" s="29">
        <v>-104</v>
      </c>
      <c r="R16" s="29">
        <v>-112</v>
      </c>
      <c r="S16" s="29">
        <v>-120</v>
      </c>
      <c r="T16" s="29">
        <v>-128</v>
      </c>
      <c r="U16" s="29">
        <v>-136</v>
      </c>
      <c r="V16" s="29">
        <v>-144</v>
      </c>
      <c r="W16" s="29">
        <v>-152</v>
      </c>
      <c r="X16" s="29">
        <v>-160</v>
      </c>
      <c r="Y16" s="29">
        <v>-168</v>
      </c>
      <c r="Z16" s="29">
        <v>-176</v>
      </c>
      <c r="AA16" s="29">
        <v>-184</v>
      </c>
      <c r="AB16" s="29">
        <v>-192</v>
      </c>
      <c r="AC16" s="29">
        <v>-200</v>
      </c>
      <c r="AD16" s="29">
        <v>-208</v>
      </c>
      <c r="AE16" s="29">
        <v>-216</v>
      </c>
      <c r="AF16" s="29">
        <v>-224</v>
      </c>
      <c r="AG16" s="29">
        <v>-232</v>
      </c>
      <c r="AH16" s="29">
        <v>-240</v>
      </c>
    </row>
    <row r="17" spans="1:34" x14ac:dyDescent="0.25">
      <c r="A17" s="17" t="s">
        <v>14</v>
      </c>
      <c r="B17" s="17" t="s">
        <v>15</v>
      </c>
      <c r="D17" s="29">
        <v>0</v>
      </c>
      <c r="E17" s="29">
        <v>14</v>
      </c>
      <c r="F17" s="29">
        <v>28</v>
      </c>
      <c r="G17" s="29">
        <v>42</v>
      </c>
      <c r="H17" s="29">
        <v>56</v>
      </c>
      <c r="I17" s="29">
        <v>69</v>
      </c>
      <c r="J17" s="29">
        <v>83</v>
      </c>
      <c r="K17" s="29">
        <v>97</v>
      </c>
      <c r="L17" s="29">
        <v>111</v>
      </c>
      <c r="M17" s="29">
        <v>125</v>
      </c>
      <c r="N17" s="29">
        <v>139</v>
      </c>
      <c r="O17" s="29">
        <v>153</v>
      </c>
      <c r="P17" s="29">
        <v>167</v>
      </c>
      <c r="Q17" s="29">
        <v>181</v>
      </c>
      <c r="R17" s="29">
        <v>194</v>
      </c>
      <c r="S17" s="29">
        <v>208</v>
      </c>
      <c r="T17" s="29">
        <v>222</v>
      </c>
      <c r="U17" s="29">
        <v>236</v>
      </c>
      <c r="V17" s="29">
        <v>250</v>
      </c>
      <c r="W17" s="29">
        <v>264</v>
      </c>
      <c r="X17" s="29">
        <v>278</v>
      </c>
      <c r="Y17" s="29">
        <v>292</v>
      </c>
      <c r="Z17" s="29">
        <v>306</v>
      </c>
      <c r="AA17" s="29">
        <v>319</v>
      </c>
      <c r="AB17" s="29">
        <v>333</v>
      </c>
      <c r="AC17" s="29">
        <v>347</v>
      </c>
      <c r="AD17" s="29">
        <v>361</v>
      </c>
      <c r="AE17" s="29">
        <v>375</v>
      </c>
      <c r="AF17" s="29">
        <v>389</v>
      </c>
      <c r="AG17" s="29">
        <v>403</v>
      </c>
      <c r="AH17" s="29">
        <v>417</v>
      </c>
    </row>
    <row r="18" spans="1:34" x14ac:dyDescent="0.25">
      <c r="A18" s="17" t="s">
        <v>15</v>
      </c>
      <c r="B18" s="17" t="s">
        <v>16</v>
      </c>
      <c r="D18" s="29">
        <v>0</v>
      </c>
      <c r="E18" s="29">
        <v>5</v>
      </c>
      <c r="F18" s="29">
        <v>10</v>
      </c>
      <c r="G18" s="29">
        <v>15</v>
      </c>
      <c r="H18" s="29">
        <v>21</v>
      </c>
      <c r="I18" s="29">
        <v>26</v>
      </c>
      <c r="J18" s="29">
        <v>31</v>
      </c>
      <c r="K18" s="29">
        <v>36</v>
      </c>
      <c r="L18" s="29">
        <v>41</v>
      </c>
      <c r="M18" s="29">
        <v>46</v>
      </c>
      <c r="N18" s="29">
        <v>51</v>
      </c>
      <c r="O18" s="29">
        <v>57</v>
      </c>
      <c r="P18" s="29">
        <v>62</v>
      </c>
      <c r="Q18" s="29">
        <v>67</v>
      </c>
      <c r="R18" s="29">
        <v>72</v>
      </c>
      <c r="S18" s="29">
        <v>77</v>
      </c>
      <c r="T18" s="29">
        <v>82</v>
      </c>
      <c r="U18" s="29">
        <v>87</v>
      </c>
      <c r="V18" s="29">
        <v>93</v>
      </c>
      <c r="W18" s="29">
        <v>98</v>
      </c>
      <c r="X18" s="29">
        <v>103</v>
      </c>
      <c r="Y18" s="29">
        <v>108</v>
      </c>
      <c r="Z18" s="29">
        <v>113</v>
      </c>
      <c r="AA18" s="29">
        <v>118</v>
      </c>
      <c r="AB18" s="29">
        <v>123</v>
      </c>
      <c r="AC18" s="29">
        <v>129</v>
      </c>
      <c r="AD18" s="29">
        <v>134</v>
      </c>
      <c r="AE18" s="29">
        <v>139</v>
      </c>
      <c r="AF18" s="29">
        <v>144</v>
      </c>
      <c r="AG18" s="29">
        <v>149</v>
      </c>
      <c r="AH18" s="29">
        <v>154</v>
      </c>
    </row>
    <row r="19" spans="1:34" x14ac:dyDescent="0.25">
      <c r="A19" s="17" t="s">
        <v>16</v>
      </c>
      <c r="B19" s="17" t="s">
        <v>17</v>
      </c>
      <c r="D19" s="29">
        <v>0</v>
      </c>
      <c r="E19" s="29">
        <v>-11</v>
      </c>
      <c r="F19" s="29">
        <v>-22</v>
      </c>
      <c r="G19" s="29">
        <v>-32</v>
      </c>
      <c r="H19" s="29">
        <v>-43</v>
      </c>
      <c r="I19" s="29">
        <v>-54</v>
      </c>
      <c r="J19" s="29">
        <v>-65</v>
      </c>
      <c r="K19" s="29">
        <v>-76</v>
      </c>
      <c r="L19" s="29">
        <v>-87</v>
      </c>
      <c r="M19" s="29">
        <v>-97</v>
      </c>
      <c r="N19" s="29">
        <v>-108</v>
      </c>
      <c r="O19" s="29">
        <v>-119</v>
      </c>
      <c r="P19" s="29">
        <v>-130</v>
      </c>
      <c r="Q19" s="29">
        <v>-141</v>
      </c>
      <c r="R19" s="29">
        <v>-151</v>
      </c>
      <c r="S19" s="29">
        <v>-162</v>
      </c>
      <c r="T19" s="29">
        <v>-173</v>
      </c>
      <c r="U19" s="29">
        <v>-184</v>
      </c>
      <c r="V19" s="29">
        <v>-195</v>
      </c>
      <c r="W19" s="29">
        <v>-205</v>
      </c>
      <c r="X19" s="29">
        <v>-216</v>
      </c>
      <c r="Y19" s="29">
        <v>-227</v>
      </c>
      <c r="Z19" s="29">
        <v>-238</v>
      </c>
      <c r="AA19" s="29">
        <v>-249</v>
      </c>
      <c r="AB19" s="29">
        <v>-260</v>
      </c>
      <c r="AC19" s="29">
        <v>-270</v>
      </c>
      <c r="AD19" s="29">
        <v>-281</v>
      </c>
      <c r="AE19" s="29">
        <v>-292</v>
      </c>
      <c r="AF19" s="29">
        <v>-303</v>
      </c>
      <c r="AG19" s="29">
        <v>-314</v>
      </c>
      <c r="AH19" s="29">
        <v>-324</v>
      </c>
    </row>
    <row r="20" spans="1:34" x14ac:dyDescent="0.25">
      <c r="A20" s="17" t="s">
        <v>17</v>
      </c>
      <c r="B20" s="17" t="s">
        <v>18</v>
      </c>
      <c r="D20" s="29">
        <v>0</v>
      </c>
      <c r="E20" s="29">
        <v>-15</v>
      </c>
      <c r="F20" s="29">
        <v>-30</v>
      </c>
      <c r="G20" s="29">
        <v>-45</v>
      </c>
      <c r="H20" s="29">
        <v>-60</v>
      </c>
      <c r="I20" s="29">
        <v>-74</v>
      </c>
      <c r="J20" s="29">
        <v>-89</v>
      </c>
      <c r="K20" s="29">
        <v>-104</v>
      </c>
      <c r="L20" s="29">
        <v>-119</v>
      </c>
      <c r="M20" s="29">
        <v>-134</v>
      </c>
      <c r="N20" s="29">
        <v>-149</v>
      </c>
      <c r="O20" s="29">
        <v>-164</v>
      </c>
      <c r="P20" s="29">
        <v>-179</v>
      </c>
      <c r="Q20" s="29">
        <v>-194</v>
      </c>
      <c r="R20" s="29">
        <v>-208</v>
      </c>
      <c r="S20" s="29">
        <v>-223</v>
      </c>
      <c r="T20" s="29">
        <v>-238</v>
      </c>
      <c r="U20" s="29">
        <v>-253</v>
      </c>
      <c r="V20" s="29">
        <v>-268</v>
      </c>
      <c r="W20" s="29">
        <v>-283</v>
      </c>
      <c r="X20" s="29">
        <v>-298</v>
      </c>
      <c r="Y20" s="29">
        <v>-313</v>
      </c>
      <c r="Z20" s="29">
        <v>-328</v>
      </c>
      <c r="AA20" s="29">
        <v>-342</v>
      </c>
      <c r="AB20" s="29">
        <v>-357</v>
      </c>
      <c r="AC20" s="29">
        <v>-372</v>
      </c>
      <c r="AD20" s="29">
        <v>-387</v>
      </c>
      <c r="AE20" s="29">
        <v>-402</v>
      </c>
      <c r="AF20" s="29">
        <v>-417</v>
      </c>
      <c r="AG20" s="29">
        <v>-432</v>
      </c>
      <c r="AH20" s="29">
        <v>-447</v>
      </c>
    </row>
    <row r="21" spans="1:34" x14ac:dyDescent="0.25">
      <c r="A21" s="17" t="s">
        <v>18</v>
      </c>
      <c r="B21" s="17" t="s">
        <v>19</v>
      </c>
      <c r="D21" s="29">
        <v>0</v>
      </c>
      <c r="E21" s="29">
        <v>-5</v>
      </c>
      <c r="F21" s="29">
        <v>-9</v>
      </c>
      <c r="G21" s="29">
        <v>-14</v>
      </c>
      <c r="H21" s="29">
        <v>-18</v>
      </c>
      <c r="I21" s="29">
        <v>-23</v>
      </c>
      <c r="J21" s="29">
        <v>-27</v>
      </c>
      <c r="K21" s="29">
        <v>-32</v>
      </c>
      <c r="L21" s="29">
        <v>-36</v>
      </c>
      <c r="M21" s="29">
        <v>-41</v>
      </c>
      <c r="N21" s="29">
        <v>-45</v>
      </c>
      <c r="O21" s="29">
        <v>-50</v>
      </c>
      <c r="P21" s="29">
        <v>-54</v>
      </c>
      <c r="Q21" s="29">
        <v>-59</v>
      </c>
      <c r="R21" s="29">
        <v>-64</v>
      </c>
      <c r="S21" s="29">
        <v>-68</v>
      </c>
      <c r="T21" s="29">
        <v>-73</v>
      </c>
      <c r="U21" s="29">
        <v>-77</v>
      </c>
      <c r="V21" s="29">
        <v>-82</v>
      </c>
      <c r="W21" s="29">
        <v>-86</v>
      </c>
      <c r="X21" s="29">
        <v>-91</v>
      </c>
      <c r="Y21" s="29">
        <v>-95</v>
      </c>
      <c r="Z21" s="29">
        <v>-100</v>
      </c>
      <c r="AA21" s="29">
        <v>-104</v>
      </c>
      <c r="AB21" s="29">
        <v>-109</v>
      </c>
      <c r="AC21" s="29">
        <v>-113</v>
      </c>
      <c r="AD21" s="29">
        <v>-118</v>
      </c>
      <c r="AE21" s="29">
        <v>-123</v>
      </c>
      <c r="AF21" s="29">
        <v>-127</v>
      </c>
      <c r="AG21" s="29">
        <v>-132</v>
      </c>
      <c r="AH21" s="29">
        <v>-136</v>
      </c>
    </row>
    <row r="22" spans="1:34" x14ac:dyDescent="0.25">
      <c r="A22" s="17" t="s">
        <v>47</v>
      </c>
      <c r="B22" s="17" t="s">
        <v>20</v>
      </c>
      <c r="D22" s="29">
        <v>0</v>
      </c>
      <c r="E22" s="29">
        <v>-2</v>
      </c>
      <c r="F22" s="29">
        <v>-3</v>
      </c>
      <c r="G22" s="29">
        <v>-5</v>
      </c>
      <c r="H22" s="29">
        <v>-7</v>
      </c>
      <c r="I22" s="29">
        <v>-9</v>
      </c>
      <c r="J22" s="29">
        <v>-10</v>
      </c>
      <c r="K22" s="29">
        <v>-12</v>
      </c>
      <c r="L22" s="29">
        <v>-13</v>
      </c>
      <c r="M22" s="29">
        <v>-15</v>
      </c>
      <c r="N22" s="29">
        <v>-16</v>
      </c>
      <c r="O22" s="29">
        <v>-18</v>
      </c>
      <c r="P22" s="29">
        <v>-20</v>
      </c>
      <c r="Q22" s="29">
        <v>-22</v>
      </c>
      <c r="R22" s="29">
        <v>-23</v>
      </c>
      <c r="S22" s="29">
        <v>-25</v>
      </c>
      <c r="T22" s="29">
        <v>-27</v>
      </c>
      <c r="U22" s="29">
        <v>-28</v>
      </c>
      <c r="V22" s="29">
        <v>-30</v>
      </c>
      <c r="W22" s="29">
        <v>-32</v>
      </c>
      <c r="X22" s="29">
        <v>-34</v>
      </c>
      <c r="Y22" s="29">
        <v>-35</v>
      </c>
      <c r="Z22" s="29">
        <v>-37</v>
      </c>
      <c r="AA22" s="29">
        <v>-38</v>
      </c>
      <c r="AB22" s="29">
        <v>-40</v>
      </c>
      <c r="AC22" s="29">
        <v>-41</v>
      </c>
      <c r="AD22" s="29">
        <v>-43</v>
      </c>
      <c r="AE22" s="29">
        <v>-45</v>
      </c>
      <c r="AF22" s="29">
        <v>-47</v>
      </c>
      <c r="AG22" s="29">
        <v>-49</v>
      </c>
      <c r="AH22" s="29">
        <v>-50</v>
      </c>
    </row>
  </sheetData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</sheetPr>
  <dimension ref="B1:V88"/>
  <sheetViews>
    <sheetView workbookViewId="0"/>
  </sheetViews>
  <sheetFormatPr baseColWidth="10" defaultColWidth="11" defaultRowHeight="13.8" x14ac:dyDescent="0.25"/>
  <sheetData>
    <row r="1" spans="2:22" ht="14.4" thickBot="1" x14ac:dyDescent="0.3"/>
    <row r="2" spans="2:22" ht="14.4" thickBot="1" x14ac:dyDescent="0.3">
      <c r="B2" t="s">
        <v>21</v>
      </c>
      <c r="C2">
        <f>'Hypothèses et Graphiques'!I8</f>
        <v>2015</v>
      </c>
      <c r="E2" s="9">
        <v>2015</v>
      </c>
      <c r="F2" s="2">
        <v>2020</v>
      </c>
      <c r="G2" s="2">
        <v>2025</v>
      </c>
      <c r="H2" s="2">
        <v>2030</v>
      </c>
      <c r="I2" s="2">
        <v>2035</v>
      </c>
      <c r="J2" s="2">
        <v>2040</v>
      </c>
      <c r="K2" s="2">
        <v>2045</v>
      </c>
      <c r="L2" s="2">
        <v>2050</v>
      </c>
      <c r="M2" s="2">
        <v>2055</v>
      </c>
      <c r="N2" s="2">
        <v>2060</v>
      </c>
      <c r="O2" s="2">
        <v>2065</v>
      </c>
      <c r="P2" s="2">
        <v>2070</v>
      </c>
      <c r="Q2" s="2">
        <v>2075</v>
      </c>
      <c r="R2" s="2">
        <v>2080</v>
      </c>
      <c r="S2" s="2">
        <v>2085</v>
      </c>
      <c r="T2" s="2">
        <v>2090</v>
      </c>
      <c r="U2" s="2">
        <v>2095</v>
      </c>
      <c r="V2" s="3">
        <v>2100</v>
      </c>
    </row>
    <row r="3" spans="2:22" x14ac:dyDescent="0.25">
      <c r="B3" s="11" t="s">
        <v>7</v>
      </c>
      <c r="C3" s="32">
        <f>LOOKUP($C$2,$E$2:$V$2,$E3:$V3)</f>
        <v>-217657</v>
      </c>
      <c r="D3" s="20"/>
      <c r="E3" s="16">
        <f>IF(Population!C3="-","-",-Population!C3)</f>
        <v>-217657</v>
      </c>
      <c r="F3" s="31" t="str">
        <f>IF('Hypothèses et Graphiques'!$C$8&gt;=F$2,-Population!D3,"-")</f>
        <v>-</v>
      </c>
      <c r="G3" s="31" t="str">
        <f>IF('Hypothèses et Graphiques'!$C$8&gt;=G$2,-Population!E3,"-")</f>
        <v>-</v>
      </c>
      <c r="H3" s="31" t="str">
        <f>IF('Hypothèses et Graphiques'!$C$8&gt;=H$2,-Population!F3,"-")</f>
        <v>-</v>
      </c>
      <c r="I3" s="31" t="str">
        <f>IF('Hypothèses et Graphiques'!$C$8&gt;=I$2,-Population!G3,"-")</f>
        <v>-</v>
      </c>
      <c r="J3" s="31" t="str">
        <f>IF('Hypothèses et Graphiques'!$C$8&gt;=J$2,-Population!H3,"-")</f>
        <v>-</v>
      </c>
      <c r="K3" s="31" t="str">
        <f>IF('Hypothèses et Graphiques'!$C$8&gt;=K$2,-Population!I3,"-")</f>
        <v>-</v>
      </c>
      <c r="L3" s="31" t="str">
        <f>IF('Hypothèses et Graphiques'!$C$8&gt;=L$2,-Population!J3,"-")</f>
        <v>-</v>
      </c>
      <c r="M3" s="31" t="str">
        <f>IF('Hypothèses et Graphiques'!$C$8&gt;=M$2,-Population!K3,"-")</f>
        <v>-</v>
      </c>
      <c r="N3" s="31" t="str">
        <f>IF('Hypothèses et Graphiques'!$C$8&gt;=N$2,-Population!L3,"-")</f>
        <v>-</v>
      </c>
      <c r="O3" s="31" t="str">
        <f>IF('Hypothèses et Graphiques'!$C$8&gt;=O$2,-Population!M3,"-")</f>
        <v>-</v>
      </c>
      <c r="P3" s="31" t="str">
        <f>IF('Hypothèses et Graphiques'!$C$8&gt;=P$2,-Population!N3,"-")</f>
        <v>-</v>
      </c>
      <c r="Q3" s="31" t="str">
        <f>IF('Hypothèses et Graphiques'!$C$8&gt;=Q$2,-Population!O3,"-")</f>
        <v>-</v>
      </c>
      <c r="R3" s="31" t="str">
        <f>IF('Hypothèses et Graphiques'!$C$8&gt;=R$2,-Population!P3,"-")</f>
        <v>-</v>
      </c>
      <c r="S3" s="31" t="str">
        <f>IF('Hypothèses et Graphiques'!$C$8&gt;=S$2,-Population!Q3,"-")</f>
        <v>-</v>
      </c>
      <c r="T3" s="31" t="str">
        <f>IF('Hypothèses et Graphiques'!$C$8&gt;=T$2,-Population!R3,"-")</f>
        <v>-</v>
      </c>
      <c r="U3" s="31" t="str">
        <f>IF('Hypothèses et Graphiques'!$C$8&gt;=U$2,-Population!S3,"-")</f>
        <v>-</v>
      </c>
      <c r="V3" s="31" t="str">
        <f>IF('Hypothèses et Graphiques'!$C$8&gt;=V$2,-Population!T3,"-")</f>
        <v>-</v>
      </c>
    </row>
    <row r="4" spans="2:22" x14ac:dyDescent="0.25">
      <c r="B4" s="12" t="s">
        <v>8</v>
      </c>
      <c r="C4" s="32">
        <f t="shared" ref="C4:C46" si="0">LOOKUP($C$2,$E$2:$V$2,$E4:$V4)</f>
        <v>-212219</v>
      </c>
      <c r="D4" s="27"/>
      <c r="E4" s="16">
        <f>IF(Population!C4="-","-",-Population!C4)</f>
        <v>-212219</v>
      </c>
      <c r="F4" s="31" t="str">
        <f>IF('Hypothèses et Graphiques'!$C$8&gt;=F$2,-Population!D4,"-")</f>
        <v>-</v>
      </c>
      <c r="G4" s="31" t="str">
        <f>IF('Hypothèses et Graphiques'!$C$8&gt;=G$2,-Population!E4,"-")</f>
        <v>-</v>
      </c>
      <c r="H4" s="31" t="str">
        <f>IF('Hypothèses et Graphiques'!$C$8&gt;=H$2,-Population!F4,"-")</f>
        <v>-</v>
      </c>
      <c r="I4" s="31" t="str">
        <f>IF('Hypothèses et Graphiques'!$C$8&gt;=I$2,-Population!G4,"-")</f>
        <v>-</v>
      </c>
      <c r="J4" s="31" t="str">
        <f>IF('Hypothèses et Graphiques'!$C$8&gt;=J$2,-Population!H4,"-")</f>
        <v>-</v>
      </c>
      <c r="K4" s="31" t="str">
        <f>IF('Hypothèses et Graphiques'!$C$8&gt;=K$2,-Population!I4,"-")</f>
        <v>-</v>
      </c>
      <c r="L4" s="31" t="str">
        <f>IF('Hypothèses et Graphiques'!$C$8&gt;=L$2,-Population!J4,"-")</f>
        <v>-</v>
      </c>
      <c r="M4" s="31" t="str">
        <f>IF('Hypothèses et Graphiques'!$C$8&gt;=M$2,-Population!K4,"-")</f>
        <v>-</v>
      </c>
      <c r="N4" s="31" t="str">
        <f>IF('Hypothèses et Graphiques'!$C$8&gt;=N$2,-Population!L4,"-")</f>
        <v>-</v>
      </c>
      <c r="O4" s="31" t="str">
        <f>IF('Hypothèses et Graphiques'!$C$8&gt;=O$2,-Population!M4,"-")</f>
        <v>-</v>
      </c>
      <c r="P4" s="31" t="str">
        <f>IF('Hypothèses et Graphiques'!$C$8&gt;=P$2,-Population!N4,"-")</f>
        <v>-</v>
      </c>
      <c r="Q4" s="31" t="str">
        <f>IF('Hypothèses et Graphiques'!$C$8&gt;=Q$2,-Population!O4,"-")</f>
        <v>-</v>
      </c>
      <c r="R4" s="31" t="str">
        <f>IF('Hypothèses et Graphiques'!$C$8&gt;=R$2,-Population!P4,"-")</f>
        <v>-</v>
      </c>
      <c r="S4" s="31" t="str">
        <f>IF('Hypothèses et Graphiques'!$C$8&gt;=S$2,-Population!Q4,"-")</f>
        <v>-</v>
      </c>
      <c r="T4" s="31" t="str">
        <f>IF('Hypothèses et Graphiques'!$C$8&gt;=T$2,-Population!R4,"-")</f>
        <v>-</v>
      </c>
      <c r="U4" s="31" t="str">
        <f>IF('Hypothèses et Graphiques'!$C$8&gt;=U$2,-Population!S4,"-")</f>
        <v>-</v>
      </c>
      <c r="V4" s="31" t="str">
        <f>IF('Hypothèses et Graphiques'!$C$8&gt;=V$2,-Population!T4,"-")</f>
        <v>-</v>
      </c>
    </row>
    <row r="5" spans="2:22" x14ac:dyDescent="0.25">
      <c r="B5" s="13" t="s">
        <v>9</v>
      </c>
      <c r="C5" s="32">
        <f t="shared" si="0"/>
        <v>-205372</v>
      </c>
      <c r="D5" s="19"/>
      <c r="E5" s="16">
        <f>IF(Population!C5="-","-",-Population!C5)</f>
        <v>-205372</v>
      </c>
      <c r="F5" s="31" t="str">
        <f>IF('Hypothèses et Graphiques'!$C$8&gt;=F$2,-Population!D5,"-")</f>
        <v>-</v>
      </c>
      <c r="G5" s="31" t="str">
        <f>IF('Hypothèses et Graphiques'!$C$8&gt;=G$2,-Population!E5,"-")</f>
        <v>-</v>
      </c>
      <c r="H5" s="31" t="str">
        <f>IF('Hypothèses et Graphiques'!$C$8&gt;=H$2,-Population!F5,"-")</f>
        <v>-</v>
      </c>
      <c r="I5" s="31" t="str">
        <f>IF('Hypothèses et Graphiques'!$C$8&gt;=I$2,-Population!G5,"-")</f>
        <v>-</v>
      </c>
      <c r="J5" s="31" t="str">
        <f>IF('Hypothèses et Graphiques'!$C$8&gt;=J$2,-Population!H5,"-")</f>
        <v>-</v>
      </c>
      <c r="K5" s="31" t="str">
        <f>IF('Hypothèses et Graphiques'!$C$8&gt;=K$2,-Population!I5,"-")</f>
        <v>-</v>
      </c>
      <c r="L5" s="31" t="str">
        <f>IF('Hypothèses et Graphiques'!$C$8&gt;=L$2,-Population!J5,"-")</f>
        <v>-</v>
      </c>
      <c r="M5" s="31" t="str">
        <f>IF('Hypothèses et Graphiques'!$C$8&gt;=M$2,-Population!K5,"-")</f>
        <v>-</v>
      </c>
      <c r="N5" s="31" t="str">
        <f>IF('Hypothèses et Graphiques'!$C$8&gt;=N$2,-Population!L5,"-")</f>
        <v>-</v>
      </c>
      <c r="O5" s="31" t="str">
        <f>IF('Hypothèses et Graphiques'!$C$8&gt;=O$2,-Population!M5,"-")</f>
        <v>-</v>
      </c>
      <c r="P5" s="31" t="str">
        <f>IF('Hypothèses et Graphiques'!$C$8&gt;=P$2,-Population!N5,"-")</f>
        <v>-</v>
      </c>
      <c r="Q5" s="31" t="str">
        <f>IF('Hypothèses et Graphiques'!$C$8&gt;=Q$2,-Population!O5,"-")</f>
        <v>-</v>
      </c>
      <c r="R5" s="31" t="str">
        <f>IF('Hypothèses et Graphiques'!$C$8&gt;=R$2,-Population!P5,"-")</f>
        <v>-</v>
      </c>
      <c r="S5" s="31" t="str">
        <f>IF('Hypothèses et Graphiques'!$C$8&gt;=S$2,-Population!Q5,"-")</f>
        <v>-</v>
      </c>
      <c r="T5" s="31" t="str">
        <f>IF('Hypothèses et Graphiques'!$C$8&gt;=T$2,-Population!R5,"-")</f>
        <v>-</v>
      </c>
      <c r="U5" s="31" t="str">
        <f>IF('Hypothèses et Graphiques'!$C$8&gt;=U$2,-Population!S5,"-")</f>
        <v>-</v>
      </c>
      <c r="V5" s="31" t="str">
        <f>IF('Hypothèses et Graphiques'!$C$8&gt;=V$2,-Population!T5,"-")</f>
        <v>-</v>
      </c>
    </row>
    <row r="6" spans="2:22" x14ac:dyDescent="0.25">
      <c r="B6" s="5" t="s">
        <v>0</v>
      </c>
      <c r="C6" s="32">
        <f t="shared" si="0"/>
        <v>-225456</v>
      </c>
      <c r="D6" s="17"/>
      <c r="E6" s="16">
        <f>IF(Population!C6="-","-",-Population!C6)</f>
        <v>-225456</v>
      </c>
      <c r="F6" s="31" t="str">
        <f>IF('Hypothèses et Graphiques'!$C$8&gt;=F$2,-Population!D6,"-")</f>
        <v>-</v>
      </c>
      <c r="G6" s="31" t="str">
        <f>IF('Hypothèses et Graphiques'!$C$8&gt;=G$2,-Population!E6,"-")</f>
        <v>-</v>
      </c>
      <c r="H6" s="31" t="str">
        <f>IF('Hypothèses et Graphiques'!$C$8&gt;=H$2,-Population!F6,"-")</f>
        <v>-</v>
      </c>
      <c r="I6" s="31" t="str">
        <f>IF('Hypothèses et Graphiques'!$C$8&gt;=I$2,-Population!G6,"-")</f>
        <v>-</v>
      </c>
      <c r="J6" s="31" t="str">
        <f>IF('Hypothèses et Graphiques'!$C$8&gt;=J$2,-Population!H6,"-")</f>
        <v>-</v>
      </c>
      <c r="K6" s="31" t="str">
        <f>IF('Hypothèses et Graphiques'!$C$8&gt;=K$2,-Population!I6,"-")</f>
        <v>-</v>
      </c>
      <c r="L6" s="31" t="str">
        <f>IF('Hypothèses et Graphiques'!$C$8&gt;=L$2,-Population!J6,"-")</f>
        <v>-</v>
      </c>
      <c r="M6" s="31" t="str">
        <f>IF('Hypothèses et Graphiques'!$C$8&gt;=M$2,-Population!K6,"-")</f>
        <v>-</v>
      </c>
      <c r="N6" s="31" t="str">
        <f>IF('Hypothèses et Graphiques'!$C$8&gt;=N$2,-Population!L6,"-")</f>
        <v>-</v>
      </c>
      <c r="O6" s="31" t="str">
        <f>IF('Hypothèses et Graphiques'!$C$8&gt;=O$2,-Population!M6,"-")</f>
        <v>-</v>
      </c>
      <c r="P6" s="31" t="str">
        <f>IF('Hypothèses et Graphiques'!$C$8&gt;=P$2,-Population!N6,"-")</f>
        <v>-</v>
      </c>
      <c r="Q6" s="31" t="str">
        <f>IF('Hypothèses et Graphiques'!$C$8&gt;=Q$2,-Population!O6,"-")</f>
        <v>-</v>
      </c>
      <c r="R6" s="31" t="str">
        <f>IF('Hypothèses et Graphiques'!$C$8&gt;=R$2,-Population!P6,"-")</f>
        <v>-</v>
      </c>
      <c r="S6" s="31" t="str">
        <f>IF('Hypothèses et Graphiques'!$C$8&gt;=S$2,-Population!Q6,"-")</f>
        <v>-</v>
      </c>
      <c r="T6" s="31" t="str">
        <f>IF('Hypothèses et Graphiques'!$C$8&gt;=T$2,-Population!R6,"-")</f>
        <v>-</v>
      </c>
      <c r="U6" s="31" t="str">
        <f>IF('Hypothèses et Graphiques'!$C$8&gt;=U$2,-Population!S6,"-")</f>
        <v>-</v>
      </c>
      <c r="V6" s="31" t="str">
        <f>IF('Hypothèses et Graphiques'!$C$8&gt;=V$2,-Population!T6,"-")</f>
        <v>-</v>
      </c>
    </row>
    <row r="7" spans="2:22" x14ac:dyDescent="0.25">
      <c r="B7" s="5" t="s">
        <v>1</v>
      </c>
      <c r="C7" s="32">
        <f t="shared" si="0"/>
        <v>-252697</v>
      </c>
      <c r="D7" s="17"/>
      <c r="E7" s="16">
        <f>IF(Population!C7="-","-",-Population!C7)</f>
        <v>-252697</v>
      </c>
      <c r="F7" s="31" t="str">
        <f>IF('Hypothèses et Graphiques'!$C$8&gt;=F$2,-Population!D7,"-")</f>
        <v>-</v>
      </c>
      <c r="G7" s="31" t="str">
        <f>IF('Hypothèses et Graphiques'!$C$8&gt;=G$2,-Population!E7,"-")</f>
        <v>-</v>
      </c>
      <c r="H7" s="31" t="str">
        <f>IF('Hypothèses et Graphiques'!$C$8&gt;=H$2,-Population!F7,"-")</f>
        <v>-</v>
      </c>
      <c r="I7" s="31" t="str">
        <f>IF('Hypothèses et Graphiques'!$C$8&gt;=I$2,-Population!G7,"-")</f>
        <v>-</v>
      </c>
      <c r="J7" s="31" t="str">
        <f>IF('Hypothèses et Graphiques'!$C$8&gt;=J$2,-Population!H7,"-")</f>
        <v>-</v>
      </c>
      <c r="K7" s="31" t="str">
        <f>IF('Hypothèses et Graphiques'!$C$8&gt;=K$2,-Population!I7,"-")</f>
        <v>-</v>
      </c>
      <c r="L7" s="31" t="str">
        <f>IF('Hypothèses et Graphiques'!$C$8&gt;=L$2,-Population!J7,"-")</f>
        <v>-</v>
      </c>
      <c r="M7" s="31" t="str">
        <f>IF('Hypothèses et Graphiques'!$C$8&gt;=M$2,-Population!K7,"-")</f>
        <v>-</v>
      </c>
      <c r="N7" s="31" t="str">
        <f>IF('Hypothèses et Graphiques'!$C$8&gt;=N$2,-Population!L7,"-")</f>
        <v>-</v>
      </c>
      <c r="O7" s="31" t="str">
        <f>IF('Hypothèses et Graphiques'!$C$8&gt;=O$2,-Population!M7,"-")</f>
        <v>-</v>
      </c>
      <c r="P7" s="31" t="str">
        <f>IF('Hypothèses et Graphiques'!$C$8&gt;=P$2,-Population!N7,"-")</f>
        <v>-</v>
      </c>
      <c r="Q7" s="31" t="str">
        <f>IF('Hypothèses et Graphiques'!$C$8&gt;=Q$2,-Population!O7,"-")</f>
        <v>-</v>
      </c>
      <c r="R7" s="31" t="str">
        <f>IF('Hypothèses et Graphiques'!$C$8&gt;=R$2,-Population!P7,"-")</f>
        <v>-</v>
      </c>
      <c r="S7" s="31" t="str">
        <f>IF('Hypothèses et Graphiques'!$C$8&gt;=S$2,-Population!Q7,"-")</f>
        <v>-</v>
      </c>
      <c r="T7" s="31" t="str">
        <f>IF('Hypothèses et Graphiques'!$C$8&gt;=T$2,-Population!R7,"-")</f>
        <v>-</v>
      </c>
      <c r="U7" s="31" t="str">
        <f>IF('Hypothèses et Graphiques'!$C$8&gt;=U$2,-Population!S7,"-")</f>
        <v>-</v>
      </c>
      <c r="V7" s="31" t="str">
        <f>IF('Hypothèses et Graphiques'!$C$8&gt;=V$2,-Population!T7,"-")</f>
        <v>-</v>
      </c>
    </row>
    <row r="8" spans="2:22" x14ac:dyDescent="0.25">
      <c r="B8" s="5" t="s">
        <v>2</v>
      </c>
      <c r="C8" s="32">
        <f t="shared" si="0"/>
        <v>-283314</v>
      </c>
      <c r="D8" s="17"/>
      <c r="E8" s="16">
        <f>IF(Population!C8="-","-",-Population!C8)</f>
        <v>-283314</v>
      </c>
      <c r="F8" s="31" t="str">
        <f>IF('Hypothèses et Graphiques'!$C$8&gt;=F$2,-Population!D8,"-")</f>
        <v>-</v>
      </c>
      <c r="G8" s="31" t="str">
        <f>IF('Hypothèses et Graphiques'!$C$8&gt;=G$2,-Population!E8,"-")</f>
        <v>-</v>
      </c>
      <c r="H8" s="31" t="str">
        <f>IF('Hypothèses et Graphiques'!$C$8&gt;=H$2,-Population!F8,"-")</f>
        <v>-</v>
      </c>
      <c r="I8" s="31" t="str">
        <f>IF('Hypothèses et Graphiques'!$C$8&gt;=I$2,-Population!G8,"-")</f>
        <v>-</v>
      </c>
      <c r="J8" s="31" t="str">
        <f>IF('Hypothèses et Graphiques'!$C$8&gt;=J$2,-Population!H8,"-")</f>
        <v>-</v>
      </c>
      <c r="K8" s="31" t="str">
        <f>IF('Hypothèses et Graphiques'!$C$8&gt;=K$2,-Population!I8,"-")</f>
        <v>-</v>
      </c>
      <c r="L8" s="31" t="str">
        <f>IF('Hypothèses et Graphiques'!$C$8&gt;=L$2,-Population!J8,"-")</f>
        <v>-</v>
      </c>
      <c r="M8" s="31" t="str">
        <f>IF('Hypothèses et Graphiques'!$C$8&gt;=M$2,-Population!K8,"-")</f>
        <v>-</v>
      </c>
      <c r="N8" s="31" t="str">
        <f>IF('Hypothèses et Graphiques'!$C$8&gt;=N$2,-Population!L8,"-")</f>
        <v>-</v>
      </c>
      <c r="O8" s="31" t="str">
        <f>IF('Hypothèses et Graphiques'!$C$8&gt;=O$2,-Population!M8,"-")</f>
        <v>-</v>
      </c>
      <c r="P8" s="31" t="str">
        <f>IF('Hypothèses et Graphiques'!$C$8&gt;=P$2,-Population!N8,"-")</f>
        <v>-</v>
      </c>
      <c r="Q8" s="31" t="str">
        <f>IF('Hypothèses et Graphiques'!$C$8&gt;=Q$2,-Population!O8,"-")</f>
        <v>-</v>
      </c>
      <c r="R8" s="31" t="str">
        <f>IF('Hypothèses et Graphiques'!$C$8&gt;=R$2,-Population!P8,"-")</f>
        <v>-</v>
      </c>
      <c r="S8" s="31" t="str">
        <f>IF('Hypothèses et Graphiques'!$C$8&gt;=S$2,-Population!Q8,"-")</f>
        <v>-</v>
      </c>
      <c r="T8" s="31" t="str">
        <f>IF('Hypothèses et Graphiques'!$C$8&gt;=T$2,-Population!R8,"-")</f>
        <v>-</v>
      </c>
      <c r="U8" s="31" t="str">
        <f>IF('Hypothèses et Graphiques'!$C$8&gt;=U$2,-Population!S8,"-")</f>
        <v>-</v>
      </c>
      <c r="V8" s="31" t="str">
        <f>IF('Hypothèses et Graphiques'!$C$8&gt;=V$2,-Population!T8,"-")</f>
        <v>-</v>
      </c>
    </row>
    <row r="9" spans="2:22" x14ac:dyDescent="0.25">
      <c r="B9" s="5" t="s">
        <v>3</v>
      </c>
      <c r="C9" s="32">
        <f t="shared" si="0"/>
        <v>-297613</v>
      </c>
      <c r="D9" s="17"/>
      <c r="E9" s="16">
        <f>IF(Population!C9="-","-",-Population!C9)</f>
        <v>-297613</v>
      </c>
      <c r="F9" s="31" t="str">
        <f>IF('Hypothèses et Graphiques'!$C$8&gt;=F$2,-Population!D9,"-")</f>
        <v>-</v>
      </c>
      <c r="G9" s="31" t="str">
        <f>IF('Hypothèses et Graphiques'!$C$8&gt;=G$2,-Population!E9,"-")</f>
        <v>-</v>
      </c>
      <c r="H9" s="31" t="str">
        <f>IF('Hypothèses et Graphiques'!$C$8&gt;=H$2,-Population!F9,"-")</f>
        <v>-</v>
      </c>
      <c r="I9" s="31" t="str">
        <f>IF('Hypothèses et Graphiques'!$C$8&gt;=I$2,-Population!G9,"-")</f>
        <v>-</v>
      </c>
      <c r="J9" s="31" t="str">
        <f>IF('Hypothèses et Graphiques'!$C$8&gt;=J$2,-Population!H9,"-")</f>
        <v>-</v>
      </c>
      <c r="K9" s="31" t="str">
        <f>IF('Hypothèses et Graphiques'!$C$8&gt;=K$2,-Population!I9,"-")</f>
        <v>-</v>
      </c>
      <c r="L9" s="31" t="str">
        <f>IF('Hypothèses et Graphiques'!$C$8&gt;=L$2,-Population!J9,"-")</f>
        <v>-</v>
      </c>
      <c r="M9" s="31" t="str">
        <f>IF('Hypothèses et Graphiques'!$C$8&gt;=M$2,-Population!K9,"-")</f>
        <v>-</v>
      </c>
      <c r="N9" s="31" t="str">
        <f>IF('Hypothèses et Graphiques'!$C$8&gt;=N$2,-Population!L9,"-")</f>
        <v>-</v>
      </c>
      <c r="O9" s="31" t="str">
        <f>IF('Hypothèses et Graphiques'!$C$8&gt;=O$2,-Population!M9,"-")</f>
        <v>-</v>
      </c>
      <c r="P9" s="31" t="str">
        <f>IF('Hypothèses et Graphiques'!$C$8&gt;=P$2,-Population!N9,"-")</f>
        <v>-</v>
      </c>
      <c r="Q9" s="31" t="str">
        <f>IF('Hypothèses et Graphiques'!$C$8&gt;=Q$2,-Population!O9,"-")</f>
        <v>-</v>
      </c>
      <c r="R9" s="31" t="str">
        <f>IF('Hypothèses et Graphiques'!$C$8&gt;=R$2,-Population!P9,"-")</f>
        <v>-</v>
      </c>
      <c r="S9" s="31" t="str">
        <f>IF('Hypothèses et Graphiques'!$C$8&gt;=S$2,-Population!Q9,"-")</f>
        <v>-</v>
      </c>
      <c r="T9" s="31" t="str">
        <f>IF('Hypothèses et Graphiques'!$C$8&gt;=T$2,-Population!R9,"-")</f>
        <v>-</v>
      </c>
      <c r="U9" s="31" t="str">
        <f>IF('Hypothèses et Graphiques'!$C$8&gt;=U$2,-Population!S9,"-")</f>
        <v>-</v>
      </c>
      <c r="V9" s="31" t="str">
        <f>IF('Hypothèses et Graphiques'!$C$8&gt;=V$2,-Population!T9,"-")</f>
        <v>-</v>
      </c>
    </row>
    <row r="10" spans="2:22" x14ac:dyDescent="0.25">
      <c r="B10" s="5" t="s">
        <v>4</v>
      </c>
      <c r="C10" s="32">
        <f t="shared" si="0"/>
        <v>-292170</v>
      </c>
      <c r="D10" s="17"/>
      <c r="E10" s="16">
        <f>IF(Population!C10="-","-",-Population!C10)</f>
        <v>-292170</v>
      </c>
      <c r="F10" s="31" t="str">
        <f>IF('Hypothèses et Graphiques'!$C$8&gt;=F$2,-Population!D10,"-")</f>
        <v>-</v>
      </c>
      <c r="G10" s="31" t="str">
        <f>IF('Hypothèses et Graphiques'!$C$8&gt;=G$2,-Population!E10,"-")</f>
        <v>-</v>
      </c>
      <c r="H10" s="31" t="str">
        <f>IF('Hypothèses et Graphiques'!$C$8&gt;=H$2,-Population!F10,"-")</f>
        <v>-</v>
      </c>
      <c r="I10" s="31" t="str">
        <f>IF('Hypothèses et Graphiques'!$C$8&gt;=I$2,-Population!G10,"-")</f>
        <v>-</v>
      </c>
      <c r="J10" s="31" t="str">
        <f>IF('Hypothèses et Graphiques'!$C$8&gt;=J$2,-Population!H10,"-")</f>
        <v>-</v>
      </c>
      <c r="K10" s="31" t="str">
        <f>IF('Hypothèses et Graphiques'!$C$8&gt;=K$2,-Population!I10,"-")</f>
        <v>-</v>
      </c>
      <c r="L10" s="31" t="str">
        <f>IF('Hypothèses et Graphiques'!$C$8&gt;=L$2,-Population!J10,"-")</f>
        <v>-</v>
      </c>
      <c r="M10" s="31" t="str">
        <f>IF('Hypothèses et Graphiques'!$C$8&gt;=M$2,-Population!K10,"-")</f>
        <v>-</v>
      </c>
      <c r="N10" s="31" t="str">
        <f>IF('Hypothèses et Graphiques'!$C$8&gt;=N$2,-Population!L10,"-")</f>
        <v>-</v>
      </c>
      <c r="O10" s="31" t="str">
        <f>IF('Hypothèses et Graphiques'!$C$8&gt;=O$2,-Population!M10,"-")</f>
        <v>-</v>
      </c>
      <c r="P10" s="31" t="str">
        <f>IF('Hypothèses et Graphiques'!$C$8&gt;=P$2,-Population!N10,"-")</f>
        <v>-</v>
      </c>
      <c r="Q10" s="31" t="str">
        <f>IF('Hypothèses et Graphiques'!$C$8&gt;=Q$2,-Population!O10,"-")</f>
        <v>-</v>
      </c>
      <c r="R10" s="31" t="str">
        <f>IF('Hypothèses et Graphiques'!$C$8&gt;=R$2,-Population!P10,"-")</f>
        <v>-</v>
      </c>
      <c r="S10" s="31" t="str">
        <f>IF('Hypothèses et Graphiques'!$C$8&gt;=S$2,-Population!Q10,"-")</f>
        <v>-</v>
      </c>
      <c r="T10" s="31" t="str">
        <f>IF('Hypothèses et Graphiques'!$C$8&gt;=T$2,-Population!R10,"-")</f>
        <v>-</v>
      </c>
      <c r="U10" s="31" t="str">
        <f>IF('Hypothèses et Graphiques'!$C$8&gt;=U$2,-Population!S10,"-")</f>
        <v>-</v>
      </c>
      <c r="V10" s="31" t="str">
        <f>IF('Hypothèses et Graphiques'!$C$8&gt;=V$2,-Population!T10,"-")</f>
        <v>-</v>
      </c>
    </row>
    <row r="11" spans="2:22" x14ac:dyDescent="0.25">
      <c r="B11" s="5" t="s">
        <v>5</v>
      </c>
      <c r="C11" s="32">
        <f t="shared" si="0"/>
        <v>-297391</v>
      </c>
      <c r="D11" s="17"/>
      <c r="E11" s="16">
        <f>IF(Population!C11="-","-",-Population!C11)</f>
        <v>-297391</v>
      </c>
      <c r="F11" s="31" t="str">
        <f>IF('Hypothèses et Graphiques'!$C$8&gt;=F$2,-Population!D11,"-")</f>
        <v>-</v>
      </c>
      <c r="G11" s="31" t="str">
        <f>IF('Hypothèses et Graphiques'!$C$8&gt;=G$2,-Population!E11,"-")</f>
        <v>-</v>
      </c>
      <c r="H11" s="31" t="str">
        <f>IF('Hypothèses et Graphiques'!$C$8&gt;=H$2,-Population!F11,"-")</f>
        <v>-</v>
      </c>
      <c r="I11" s="31" t="str">
        <f>IF('Hypothèses et Graphiques'!$C$8&gt;=I$2,-Population!G11,"-")</f>
        <v>-</v>
      </c>
      <c r="J11" s="31" t="str">
        <f>IF('Hypothèses et Graphiques'!$C$8&gt;=J$2,-Population!H11,"-")</f>
        <v>-</v>
      </c>
      <c r="K11" s="31" t="str">
        <f>IF('Hypothèses et Graphiques'!$C$8&gt;=K$2,-Population!I11,"-")</f>
        <v>-</v>
      </c>
      <c r="L11" s="31" t="str">
        <f>IF('Hypothèses et Graphiques'!$C$8&gt;=L$2,-Population!J11,"-")</f>
        <v>-</v>
      </c>
      <c r="M11" s="31" t="str">
        <f>IF('Hypothèses et Graphiques'!$C$8&gt;=M$2,-Population!K11,"-")</f>
        <v>-</v>
      </c>
      <c r="N11" s="31" t="str">
        <f>IF('Hypothèses et Graphiques'!$C$8&gt;=N$2,-Population!L11,"-")</f>
        <v>-</v>
      </c>
      <c r="O11" s="31" t="str">
        <f>IF('Hypothèses et Graphiques'!$C$8&gt;=O$2,-Population!M11,"-")</f>
        <v>-</v>
      </c>
      <c r="P11" s="31" t="str">
        <f>IF('Hypothèses et Graphiques'!$C$8&gt;=P$2,-Population!N11,"-")</f>
        <v>-</v>
      </c>
      <c r="Q11" s="31" t="str">
        <f>IF('Hypothèses et Graphiques'!$C$8&gt;=Q$2,-Population!O11,"-")</f>
        <v>-</v>
      </c>
      <c r="R11" s="31" t="str">
        <f>IF('Hypothèses et Graphiques'!$C$8&gt;=R$2,-Population!P11,"-")</f>
        <v>-</v>
      </c>
      <c r="S11" s="31" t="str">
        <f>IF('Hypothèses et Graphiques'!$C$8&gt;=S$2,-Population!Q11,"-")</f>
        <v>-</v>
      </c>
      <c r="T11" s="31" t="str">
        <f>IF('Hypothèses et Graphiques'!$C$8&gt;=T$2,-Population!R11,"-")</f>
        <v>-</v>
      </c>
      <c r="U11" s="31" t="str">
        <f>IF('Hypothèses et Graphiques'!$C$8&gt;=U$2,-Population!S11,"-")</f>
        <v>-</v>
      </c>
      <c r="V11" s="31" t="str">
        <f>IF('Hypothèses et Graphiques'!$C$8&gt;=V$2,-Population!T11,"-")</f>
        <v>-</v>
      </c>
    </row>
    <row r="12" spans="2:22" x14ac:dyDescent="0.25">
      <c r="B12" s="5" t="s">
        <v>6</v>
      </c>
      <c r="C12" s="32">
        <f t="shared" si="0"/>
        <v>-329701</v>
      </c>
      <c r="D12" s="17"/>
      <c r="E12" s="16">
        <f>IF(Population!C12="-","-",-Population!C12)</f>
        <v>-329701</v>
      </c>
      <c r="F12" s="31" t="str">
        <f>IF('Hypothèses et Graphiques'!$C$8&gt;=F$2,-Population!D12,"-")</f>
        <v>-</v>
      </c>
      <c r="G12" s="31" t="str">
        <f>IF('Hypothèses et Graphiques'!$C$8&gt;=G$2,-Population!E12,"-")</f>
        <v>-</v>
      </c>
      <c r="H12" s="31" t="str">
        <f>IF('Hypothèses et Graphiques'!$C$8&gt;=H$2,-Population!F12,"-")</f>
        <v>-</v>
      </c>
      <c r="I12" s="31" t="str">
        <f>IF('Hypothèses et Graphiques'!$C$8&gt;=I$2,-Population!G12,"-")</f>
        <v>-</v>
      </c>
      <c r="J12" s="31" t="str">
        <f>IF('Hypothèses et Graphiques'!$C$8&gt;=J$2,-Population!H12,"-")</f>
        <v>-</v>
      </c>
      <c r="K12" s="31" t="str">
        <f>IF('Hypothèses et Graphiques'!$C$8&gt;=K$2,-Population!I12,"-")</f>
        <v>-</v>
      </c>
      <c r="L12" s="31" t="str">
        <f>IF('Hypothèses et Graphiques'!$C$8&gt;=L$2,-Population!J12,"-")</f>
        <v>-</v>
      </c>
      <c r="M12" s="31" t="str">
        <f>IF('Hypothèses et Graphiques'!$C$8&gt;=M$2,-Population!K12,"-")</f>
        <v>-</v>
      </c>
      <c r="N12" s="31" t="str">
        <f>IF('Hypothèses et Graphiques'!$C$8&gt;=N$2,-Population!L12,"-")</f>
        <v>-</v>
      </c>
      <c r="O12" s="31" t="str">
        <f>IF('Hypothèses et Graphiques'!$C$8&gt;=O$2,-Population!M12,"-")</f>
        <v>-</v>
      </c>
      <c r="P12" s="31" t="str">
        <f>IF('Hypothèses et Graphiques'!$C$8&gt;=P$2,-Population!N12,"-")</f>
        <v>-</v>
      </c>
      <c r="Q12" s="31" t="str">
        <f>IF('Hypothèses et Graphiques'!$C$8&gt;=Q$2,-Population!O12,"-")</f>
        <v>-</v>
      </c>
      <c r="R12" s="31" t="str">
        <f>IF('Hypothèses et Graphiques'!$C$8&gt;=R$2,-Population!P12,"-")</f>
        <v>-</v>
      </c>
      <c r="S12" s="31" t="str">
        <f>IF('Hypothèses et Graphiques'!$C$8&gt;=S$2,-Population!Q12,"-")</f>
        <v>-</v>
      </c>
      <c r="T12" s="31" t="str">
        <f>IF('Hypothèses et Graphiques'!$C$8&gt;=T$2,-Population!R12,"-")</f>
        <v>-</v>
      </c>
      <c r="U12" s="31" t="str">
        <f>IF('Hypothèses et Graphiques'!$C$8&gt;=U$2,-Population!S12,"-")</f>
        <v>-</v>
      </c>
      <c r="V12" s="31" t="str">
        <f>IF('Hypothèses et Graphiques'!$C$8&gt;=V$2,-Population!T12,"-")</f>
        <v>-</v>
      </c>
    </row>
    <row r="13" spans="2:22" x14ac:dyDescent="0.25">
      <c r="B13" s="5" t="s">
        <v>10</v>
      </c>
      <c r="C13" s="32">
        <f t="shared" si="0"/>
        <v>-333462</v>
      </c>
      <c r="D13" s="17"/>
      <c r="E13" s="16">
        <f>IF(Population!C13="-","-",-Population!C13)</f>
        <v>-333462</v>
      </c>
      <c r="F13" s="31" t="str">
        <f>IF('Hypothèses et Graphiques'!$C$8&gt;=F$2,-Population!D13,"-")</f>
        <v>-</v>
      </c>
      <c r="G13" s="31" t="str">
        <f>IF('Hypothèses et Graphiques'!$C$8&gt;=G$2,-Population!E13,"-")</f>
        <v>-</v>
      </c>
      <c r="H13" s="31" t="str">
        <f>IF('Hypothèses et Graphiques'!$C$8&gt;=H$2,-Population!F13,"-")</f>
        <v>-</v>
      </c>
      <c r="I13" s="31" t="str">
        <f>IF('Hypothèses et Graphiques'!$C$8&gt;=I$2,-Population!G13,"-")</f>
        <v>-</v>
      </c>
      <c r="J13" s="31" t="str">
        <f>IF('Hypothèses et Graphiques'!$C$8&gt;=J$2,-Population!H13,"-")</f>
        <v>-</v>
      </c>
      <c r="K13" s="31" t="str">
        <f>IF('Hypothèses et Graphiques'!$C$8&gt;=K$2,-Population!I13,"-")</f>
        <v>-</v>
      </c>
      <c r="L13" s="31" t="str">
        <f>IF('Hypothèses et Graphiques'!$C$8&gt;=L$2,-Population!J13,"-")</f>
        <v>-</v>
      </c>
      <c r="M13" s="31" t="str">
        <f>IF('Hypothèses et Graphiques'!$C$8&gt;=M$2,-Population!K13,"-")</f>
        <v>-</v>
      </c>
      <c r="N13" s="31" t="str">
        <f>IF('Hypothèses et Graphiques'!$C$8&gt;=N$2,-Population!L13,"-")</f>
        <v>-</v>
      </c>
      <c r="O13" s="31" t="str">
        <f>IF('Hypothèses et Graphiques'!$C$8&gt;=O$2,-Population!M13,"-")</f>
        <v>-</v>
      </c>
      <c r="P13" s="31" t="str">
        <f>IF('Hypothèses et Graphiques'!$C$8&gt;=P$2,-Population!N13,"-")</f>
        <v>-</v>
      </c>
      <c r="Q13" s="31" t="str">
        <f>IF('Hypothèses et Graphiques'!$C$8&gt;=Q$2,-Population!O13,"-")</f>
        <v>-</v>
      </c>
      <c r="R13" s="31" t="str">
        <f>IF('Hypothèses et Graphiques'!$C$8&gt;=R$2,-Population!P13,"-")</f>
        <v>-</v>
      </c>
      <c r="S13" s="31" t="str">
        <f>IF('Hypothèses et Graphiques'!$C$8&gt;=S$2,-Population!Q13,"-")</f>
        <v>-</v>
      </c>
      <c r="T13" s="31" t="str">
        <f>IF('Hypothèses et Graphiques'!$C$8&gt;=T$2,-Population!R13,"-")</f>
        <v>-</v>
      </c>
      <c r="U13" s="31" t="str">
        <f>IF('Hypothèses et Graphiques'!$C$8&gt;=U$2,-Population!S13,"-")</f>
        <v>-</v>
      </c>
      <c r="V13" s="31" t="str">
        <f>IF('Hypothèses et Graphiques'!$C$8&gt;=V$2,-Population!T13,"-")</f>
        <v>-</v>
      </c>
    </row>
    <row r="14" spans="2:22" x14ac:dyDescent="0.25">
      <c r="B14" s="5" t="s">
        <v>11</v>
      </c>
      <c r="C14" s="32">
        <f t="shared" si="0"/>
        <v>-282913</v>
      </c>
      <c r="D14" s="17"/>
      <c r="E14" s="16">
        <f>IF(Population!C14="-","-",-Population!C14)</f>
        <v>-282913</v>
      </c>
      <c r="F14" s="31" t="str">
        <f>IF('Hypothèses et Graphiques'!$C$8&gt;=F$2,-Population!D14,"-")</f>
        <v>-</v>
      </c>
      <c r="G14" s="31" t="str">
        <f>IF('Hypothèses et Graphiques'!$C$8&gt;=G$2,-Population!E14,"-")</f>
        <v>-</v>
      </c>
      <c r="H14" s="31" t="str">
        <f>IF('Hypothèses et Graphiques'!$C$8&gt;=H$2,-Population!F14,"-")</f>
        <v>-</v>
      </c>
      <c r="I14" s="31" t="str">
        <f>IF('Hypothèses et Graphiques'!$C$8&gt;=I$2,-Population!G14,"-")</f>
        <v>-</v>
      </c>
      <c r="J14" s="31" t="str">
        <f>IF('Hypothèses et Graphiques'!$C$8&gt;=J$2,-Population!H14,"-")</f>
        <v>-</v>
      </c>
      <c r="K14" s="31" t="str">
        <f>IF('Hypothèses et Graphiques'!$C$8&gt;=K$2,-Population!I14,"-")</f>
        <v>-</v>
      </c>
      <c r="L14" s="31" t="str">
        <f>IF('Hypothèses et Graphiques'!$C$8&gt;=L$2,-Population!J14,"-")</f>
        <v>-</v>
      </c>
      <c r="M14" s="31" t="str">
        <f>IF('Hypothèses et Graphiques'!$C$8&gt;=M$2,-Population!K14,"-")</f>
        <v>-</v>
      </c>
      <c r="N14" s="31" t="str">
        <f>IF('Hypothèses et Graphiques'!$C$8&gt;=N$2,-Population!L14,"-")</f>
        <v>-</v>
      </c>
      <c r="O14" s="31" t="str">
        <f>IF('Hypothèses et Graphiques'!$C$8&gt;=O$2,-Population!M14,"-")</f>
        <v>-</v>
      </c>
      <c r="P14" s="31" t="str">
        <f>IF('Hypothèses et Graphiques'!$C$8&gt;=P$2,-Population!N14,"-")</f>
        <v>-</v>
      </c>
      <c r="Q14" s="31" t="str">
        <f>IF('Hypothèses et Graphiques'!$C$8&gt;=Q$2,-Population!O14,"-")</f>
        <v>-</v>
      </c>
      <c r="R14" s="31" t="str">
        <f>IF('Hypothèses et Graphiques'!$C$8&gt;=R$2,-Population!P14,"-")</f>
        <v>-</v>
      </c>
      <c r="S14" s="31" t="str">
        <f>IF('Hypothèses et Graphiques'!$C$8&gt;=S$2,-Population!Q14,"-")</f>
        <v>-</v>
      </c>
      <c r="T14" s="31" t="str">
        <f>IF('Hypothèses et Graphiques'!$C$8&gt;=T$2,-Population!R14,"-")</f>
        <v>-</v>
      </c>
      <c r="U14" s="31" t="str">
        <f>IF('Hypothèses et Graphiques'!$C$8&gt;=U$2,-Population!S14,"-")</f>
        <v>-</v>
      </c>
      <c r="V14" s="31" t="str">
        <f>IF('Hypothèses et Graphiques'!$C$8&gt;=V$2,-Population!T14,"-")</f>
        <v>-</v>
      </c>
    </row>
    <row r="15" spans="2:22" x14ac:dyDescent="0.25">
      <c r="B15" s="5" t="s">
        <v>12</v>
      </c>
      <c r="C15" s="32">
        <f t="shared" si="0"/>
        <v>-231880</v>
      </c>
      <c r="D15" s="17"/>
      <c r="E15" s="16">
        <f>IF(Population!C15="-","-",-Population!C15)</f>
        <v>-231880</v>
      </c>
      <c r="F15" s="31" t="str">
        <f>IF('Hypothèses et Graphiques'!$C$8&gt;=F$2,-Population!D15,"-")</f>
        <v>-</v>
      </c>
      <c r="G15" s="31" t="str">
        <f>IF('Hypothèses et Graphiques'!$C$8&gt;=G$2,-Population!E15,"-")</f>
        <v>-</v>
      </c>
      <c r="H15" s="31" t="str">
        <f>IF('Hypothèses et Graphiques'!$C$8&gt;=H$2,-Population!F15,"-")</f>
        <v>-</v>
      </c>
      <c r="I15" s="31" t="str">
        <f>IF('Hypothèses et Graphiques'!$C$8&gt;=I$2,-Population!G15,"-")</f>
        <v>-</v>
      </c>
      <c r="J15" s="31" t="str">
        <f>IF('Hypothèses et Graphiques'!$C$8&gt;=J$2,-Population!H15,"-")</f>
        <v>-</v>
      </c>
      <c r="K15" s="31" t="str">
        <f>IF('Hypothèses et Graphiques'!$C$8&gt;=K$2,-Population!I15,"-")</f>
        <v>-</v>
      </c>
      <c r="L15" s="31" t="str">
        <f>IF('Hypothèses et Graphiques'!$C$8&gt;=L$2,-Population!J15,"-")</f>
        <v>-</v>
      </c>
      <c r="M15" s="31" t="str">
        <f>IF('Hypothèses et Graphiques'!$C$8&gt;=M$2,-Population!K15,"-")</f>
        <v>-</v>
      </c>
      <c r="N15" s="31" t="str">
        <f>IF('Hypothèses et Graphiques'!$C$8&gt;=N$2,-Population!L15,"-")</f>
        <v>-</v>
      </c>
      <c r="O15" s="31" t="str">
        <f>IF('Hypothèses et Graphiques'!$C$8&gt;=O$2,-Population!M15,"-")</f>
        <v>-</v>
      </c>
      <c r="P15" s="31" t="str">
        <f>IF('Hypothèses et Graphiques'!$C$8&gt;=P$2,-Population!N15,"-")</f>
        <v>-</v>
      </c>
      <c r="Q15" s="31" t="str">
        <f>IF('Hypothèses et Graphiques'!$C$8&gt;=Q$2,-Population!O15,"-")</f>
        <v>-</v>
      </c>
      <c r="R15" s="31" t="str">
        <f>IF('Hypothèses et Graphiques'!$C$8&gt;=R$2,-Population!P15,"-")</f>
        <v>-</v>
      </c>
      <c r="S15" s="31" t="str">
        <f>IF('Hypothèses et Graphiques'!$C$8&gt;=S$2,-Population!Q15,"-")</f>
        <v>-</v>
      </c>
      <c r="T15" s="31" t="str">
        <f>IF('Hypothèses et Graphiques'!$C$8&gt;=T$2,-Population!R15,"-")</f>
        <v>-</v>
      </c>
      <c r="U15" s="31" t="str">
        <f>IF('Hypothèses et Graphiques'!$C$8&gt;=U$2,-Population!S15,"-")</f>
        <v>-</v>
      </c>
      <c r="V15" s="31" t="str">
        <f>IF('Hypothèses et Graphiques'!$C$8&gt;=V$2,-Population!T15,"-")</f>
        <v>-</v>
      </c>
    </row>
    <row r="16" spans="2:22" x14ac:dyDescent="0.25">
      <c r="B16" s="5" t="s">
        <v>13</v>
      </c>
      <c r="C16" s="32">
        <f t="shared" si="0"/>
        <v>-209673</v>
      </c>
      <c r="D16" s="17"/>
      <c r="E16" s="16">
        <f>IF(Population!C16="-","-",-Population!C16)</f>
        <v>-209673</v>
      </c>
      <c r="F16" s="31" t="str">
        <f>IF('Hypothèses et Graphiques'!$C$8&gt;=F$2,-Population!D16,"-")</f>
        <v>-</v>
      </c>
      <c r="G16" s="31" t="str">
        <f>IF('Hypothèses et Graphiques'!$C$8&gt;=G$2,-Population!E16,"-")</f>
        <v>-</v>
      </c>
      <c r="H16" s="31" t="str">
        <f>IF('Hypothèses et Graphiques'!$C$8&gt;=H$2,-Population!F16,"-")</f>
        <v>-</v>
      </c>
      <c r="I16" s="31" t="str">
        <f>IF('Hypothèses et Graphiques'!$C$8&gt;=I$2,-Population!G16,"-")</f>
        <v>-</v>
      </c>
      <c r="J16" s="31" t="str">
        <f>IF('Hypothèses et Graphiques'!$C$8&gt;=J$2,-Population!H16,"-")</f>
        <v>-</v>
      </c>
      <c r="K16" s="31" t="str">
        <f>IF('Hypothèses et Graphiques'!$C$8&gt;=K$2,-Population!I16,"-")</f>
        <v>-</v>
      </c>
      <c r="L16" s="31" t="str">
        <f>IF('Hypothèses et Graphiques'!$C$8&gt;=L$2,-Population!J16,"-")</f>
        <v>-</v>
      </c>
      <c r="M16" s="31" t="str">
        <f>IF('Hypothèses et Graphiques'!$C$8&gt;=M$2,-Population!K16,"-")</f>
        <v>-</v>
      </c>
      <c r="N16" s="31" t="str">
        <f>IF('Hypothèses et Graphiques'!$C$8&gt;=N$2,-Population!L16,"-")</f>
        <v>-</v>
      </c>
      <c r="O16" s="31" t="str">
        <f>IF('Hypothèses et Graphiques'!$C$8&gt;=O$2,-Population!M16,"-")</f>
        <v>-</v>
      </c>
      <c r="P16" s="31" t="str">
        <f>IF('Hypothèses et Graphiques'!$C$8&gt;=P$2,-Population!N16,"-")</f>
        <v>-</v>
      </c>
      <c r="Q16" s="31" t="str">
        <f>IF('Hypothèses et Graphiques'!$C$8&gt;=Q$2,-Population!O16,"-")</f>
        <v>-</v>
      </c>
      <c r="R16" s="31" t="str">
        <f>IF('Hypothèses et Graphiques'!$C$8&gt;=R$2,-Population!P16,"-")</f>
        <v>-</v>
      </c>
      <c r="S16" s="31" t="str">
        <f>IF('Hypothèses et Graphiques'!$C$8&gt;=S$2,-Population!Q16,"-")</f>
        <v>-</v>
      </c>
      <c r="T16" s="31" t="str">
        <f>IF('Hypothèses et Graphiques'!$C$8&gt;=T$2,-Population!R16,"-")</f>
        <v>-</v>
      </c>
      <c r="U16" s="31" t="str">
        <f>IF('Hypothèses et Graphiques'!$C$8&gt;=U$2,-Population!S16,"-")</f>
        <v>-</v>
      </c>
      <c r="V16" s="31" t="str">
        <f>IF('Hypothèses et Graphiques'!$C$8&gt;=V$2,-Population!T16,"-")</f>
        <v>-</v>
      </c>
    </row>
    <row r="17" spans="2:22" x14ac:dyDescent="0.25">
      <c r="B17" s="5" t="s">
        <v>14</v>
      </c>
      <c r="C17" s="32">
        <f t="shared" si="0"/>
        <v>-175474</v>
      </c>
      <c r="D17" s="17"/>
      <c r="E17" s="16">
        <f>IF(Population!C17="-","-",-Population!C17)</f>
        <v>-175474</v>
      </c>
      <c r="F17" s="31" t="str">
        <f>IF('Hypothèses et Graphiques'!$C$8&gt;=F$2,-Population!D17,"-")</f>
        <v>-</v>
      </c>
      <c r="G17" s="31" t="str">
        <f>IF('Hypothèses et Graphiques'!$C$8&gt;=G$2,-Population!E17,"-")</f>
        <v>-</v>
      </c>
      <c r="H17" s="31" t="str">
        <f>IF('Hypothèses et Graphiques'!$C$8&gt;=H$2,-Population!F17,"-")</f>
        <v>-</v>
      </c>
      <c r="I17" s="31" t="str">
        <f>IF('Hypothèses et Graphiques'!$C$8&gt;=I$2,-Population!G17,"-")</f>
        <v>-</v>
      </c>
      <c r="J17" s="31" t="str">
        <f>IF('Hypothèses et Graphiques'!$C$8&gt;=J$2,-Population!H17,"-")</f>
        <v>-</v>
      </c>
      <c r="K17" s="31" t="str">
        <f>IF('Hypothèses et Graphiques'!$C$8&gt;=K$2,-Population!I17,"-")</f>
        <v>-</v>
      </c>
      <c r="L17" s="31" t="str">
        <f>IF('Hypothèses et Graphiques'!$C$8&gt;=L$2,-Population!J17,"-")</f>
        <v>-</v>
      </c>
      <c r="M17" s="31" t="str">
        <f>IF('Hypothèses et Graphiques'!$C$8&gt;=M$2,-Population!K17,"-")</f>
        <v>-</v>
      </c>
      <c r="N17" s="31" t="str">
        <f>IF('Hypothèses et Graphiques'!$C$8&gt;=N$2,-Population!L17,"-")</f>
        <v>-</v>
      </c>
      <c r="O17" s="31" t="str">
        <f>IF('Hypothèses et Graphiques'!$C$8&gt;=O$2,-Population!M17,"-")</f>
        <v>-</v>
      </c>
      <c r="P17" s="31" t="str">
        <f>IF('Hypothèses et Graphiques'!$C$8&gt;=P$2,-Population!N17,"-")</f>
        <v>-</v>
      </c>
      <c r="Q17" s="31" t="str">
        <f>IF('Hypothèses et Graphiques'!$C$8&gt;=Q$2,-Population!O17,"-")</f>
        <v>-</v>
      </c>
      <c r="R17" s="31" t="str">
        <f>IF('Hypothèses et Graphiques'!$C$8&gt;=R$2,-Population!P17,"-")</f>
        <v>-</v>
      </c>
      <c r="S17" s="31" t="str">
        <f>IF('Hypothèses et Graphiques'!$C$8&gt;=S$2,-Population!Q17,"-")</f>
        <v>-</v>
      </c>
      <c r="T17" s="31" t="str">
        <f>IF('Hypothèses et Graphiques'!$C$8&gt;=T$2,-Population!R17,"-")</f>
        <v>-</v>
      </c>
      <c r="U17" s="31" t="str">
        <f>IF('Hypothèses et Graphiques'!$C$8&gt;=U$2,-Population!S17,"-")</f>
        <v>-</v>
      </c>
      <c r="V17" s="31" t="str">
        <f>IF('Hypothèses et Graphiques'!$C$8&gt;=V$2,-Population!T17,"-")</f>
        <v>-</v>
      </c>
    </row>
    <row r="18" spans="2:22" x14ac:dyDescent="0.25">
      <c r="B18" s="5" t="s">
        <v>15</v>
      </c>
      <c r="C18" s="32">
        <f t="shared" si="0"/>
        <v>-121302</v>
      </c>
      <c r="D18" s="17"/>
      <c r="E18" s="16">
        <f>IF(Population!C18="-","-",-Population!C18)</f>
        <v>-121302</v>
      </c>
      <c r="F18" s="31" t="str">
        <f>IF('Hypothèses et Graphiques'!$C$8&gt;=F$2,-Population!D18,"-")</f>
        <v>-</v>
      </c>
      <c r="G18" s="31" t="str">
        <f>IF('Hypothèses et Graphiques'!$C$8&gt;=G$2,-Population!E18,"-")</f>
        <v>-</v>
      </c>
      <c r="H18" s="31" t="str">
        <f>IF('Hypothèses et Graphiques'!$C$8&gt;=H$2,-Population!F18,"-")</f>
        <v>-</v>
      </c>
      <c r="I18" s="31" t="str">
        <f>IF('Hypothèses et Graphiques'!$C$8&gt;=I$2,-Population!G18,"-")</f>
        <v>-</v>
      </c>
      <c r="J18" s="31" t="str">
        <f>IF('Hypothèses et Graphiques'!$C$8&gt;=J$2,-Population!H18,"-")</f>
        <v>-</v>
      </c>
      <c r="K18" s="31" t="str">
        <f>IF('Hypothèses et Graphiques'!$C$8&gt;=K$2,-Population!I18,"-")</f>
        <v>-</v>
      </c>
      <c r="L18" s="31" t="str">
        <f>IF('Hypothèses et Graphiques'!$C$8&gt;=L$2,-Population!J18,"-")</f>
        <v>-</v>
      </c>
      <c r="M18" s="31" t="str">
        <f>IF('Hypothèses et Graphiques'!$C$8&gt;=M$2,-Population!K18,"-")</f>
        <v>-</v>
      </c>
      <c r="N18" s="31" t="str">
        <f>IF('Hypothèses et Graphiques'!$C$8&gt;=N$2,-Population!L18,"-")</f>
        <v>-</v>
      </c>
      <c r="O18" s="31" t="str">
        <f>IF('Hypothèses et Graphiques'!$C$8&gt;=O$2,-Population!M18,"-")</f>
        <v>-</v>
      </c>
      <c r="P18" s="31" t="str">
        <f>IF('Hypothèses et Graphiques'!$C$8&gt;=P$2,-Population!N18,"-")</f>
        <v>-</v>
      </c>
      <c r="Q18" s="31" t="str">
        <f>IF('Hypothèses et Graphiques'!$C$8&gt;=Q$2,-Population!O18,"-")</f>
        <v>-</v>
      </c>
      <c r="R18" s="31" t="str">
        <f>IF('Hypothèses et Graphiques'!$C$8&gt;=R$2,-Population!P18,"-")</f>
        <v>-</v>
      </c>
      <c r="S18" s="31" t="str">
        <f>IF('Hypothèses et Graphiques'!$C$8&gt;=S$2,-Population!Q18,"-")</f>
        <v>-</v>
      </c>
      <c r="T18" s="31" t="str">
        <f>IF('Hypothèses et Graphiques'!$C$8&gt;=T$2,-Population!R18,"-")</f>
        <v>-</v>
      </c>
      <c r="U18" s="31" t="str">
        <f>IF('Hypothèses et Graphiques'!$C$8&gt;=U$2,-Population!S18,"-")</f>
        <v>-</v>
      </c>
      <c r="V18" s="31" t="str">
        <f>IF('Hypothèses et Graphiques'!$C$8&gt;=V$2,-Population!T18,"-")</f>
        <v>-</v>
      </c>
    </row>
    <row r="19" spans="2:22" x14ac:dyDescent="0.25">
      <c r="B19" s="5" t="s">
        <v>16</v>
      </c>
      <c r="C19" s="32">
        <f t="shared" si="0"/>
        <v>-86403</v>
      </c>
      <c r="D19" s="17"/>
      <c r="E19" s="16">
        <f>IF(Population!C19="-","-",-Population!C19)</f>
        <v>-86403</v>
      </c>
      <c r="F19" s="31" t="str">
        <f>IF('Hypothèses et Graphiques'!$C$8&gt;=F$2,-Population!D19,"-")</f>
        <v>-</v>
      </c>
      <c r="G19" s="31" t="str">
        <f>IF('Hypothèses et Graphiques'!$C$8&gt;=G$2,-Population!E19,"-")</f>
        <v>-</v>
      </c>
      <c r="H19" s="31" t="str">
        <f>IF('Hypothèses et Graphiques'!$C$8&gt;=H$2,-Population!F19,"-")</f>
        <v>-</v>
      </c>
      <c r="I19" s="31" t="str">
        <f>IF('Hypothèses et Graphiques'!$C$8&gt;=I$2,-Population!G19,"-")</f>
        <v>-</v>
      </c>
      <c r="J19" s="31" t="str">
        <f>IF('Hypothèses et Graphiques'!$C$8&gt;=J$2,-Population!H19,"-")</f>
        <v>-</v>
      </c>
      <c r="K19" s="31" t="str">
        <f>IF('Hypothèses et Graphiques'!$C$8&gt;=K$2,-Population!I19,"-")</f>
        <v>-</v>
      </c>
      <c r="L19" s="31" t="str">
        <f>IF('Hypothèses et Graphiques'!$C$8&gt;=L$2,-Population!J19,"-")</f>
        <v>-</v>
      </c>
      <c r="M19" s="31" t="str">
        <f>IF('Hypothèses et Graphiques'!$C$8&gt;=M$2,-Population!K19,"-")</f>
        <v>-</v>
      </c>
      <c r="N19" s="31" t="str">
        <f>IF('Hypothèses et Graphiques'!$C$8&gt;=N$2,-Population!L19,"-")</f>
        <v>-</v>
      </c>
      <c r="O19" s="31" t="str">
        <f>IF('Hypothèses et Graphiques'!$C$8&gt;=O$2,-Population!M19,"-")</f>
        <v>-</v>
      </c>
      <c r="P19" s="31" t="str">
        <f>IF('Hypothèses et Graphiques'!$C$8&gt;=P$2,-Population!N19,"-")</f>
        <v>-</v>
      </c>
      <c r="Q19" s="31" t="str">
        <f>IF('Hypothèses et Graphiques'!$C$8&gt;=Q$2,-Population!O19,"-")</f>
        <v>-</v>
      </c>
      <c r="R19" s="31" t="str">
        <f>IF('Hypothèses et Graphiques'!$C$8&gt;=R$2,-Population!P19,"-")</f>
        <v>-</v>
      </c>
      <c r="S19" s="31" t="str">
        <f>IF('Hypothèses et Graphiques'!$C$8&gt;=S$2,-Population!Q19,"-")</f>
        <v>-</v>
      </c>
      <c r="T19" s="31" t="str">
        <f>IF('Hypothèses et Graphiques'!$C$8&gt;=T$2,-Population!R19,"-")</f>
        <v>-</v>
      </c>
      <c r="U19" s="31" t="str">
        <f>IF('Hypothèses et Graphiques'!$C$8&gt;=U$2,-Population!S19,"-")</f>
        <v>-</v>
      </c>
      <c r="V19" s="31" t="str">
        <f>IF('Hypothèses et Graphiques'!$C$8&gt;=V$2,-Population!T19,"-")</f>
        <v>-</v>
      </c>
    </row>
    <row r="20" spans="2:22" x14ac:dyDescent="0.25">
      <c r="B20" s="5" t="s">
        <v>17</v>
      </c>
      <c r="C20" s="32">
        <f t="shared" si="0"/>
        <v>-46832</v>
      </c>
      <c r="D20" s="17"/>
      <c r="E20" s="16">
        <f>IF(Population!C20="-","-",-Population!C20)</f>
        <v>-46832</v>
      </c>
      <c r="F20" s="31" t="str">
        <f>IF('Hypothèses et Graphiques'!$C$8&gt;=F$2,-Population!D20,"-")</f>
        <v>-</v>
      </c>
      <c r="G20" s="31" t="str">
        <f>IF('Hypothèses et Graphiques'!$C$8&gt;=G$2,-Population!E20,"-")</f>
        <v>-</v>
      </c>
      <c r="H20" s="31" t="str">
        <f>IF('Hypothèses et Graphiques'!$C$8&gt;=H$2,-Population!F20,"-")</f>
        <v>-</v>
      </c>
      <c r="I20" s="31" t="str">
        <f>IF('Hypothèses et Graphiques'!$C$8&gt;=I$2,-Population!G20,"-")</f>
        <v>-</v>
      </c>
      <c r="J20" s="31" t="str">
        <f>IF('Hypothèses et Graphiques'!$C$8&gt;=J$2,-Population!H20,"-")</f>
        <v>-</v>
      </c>
      <c r="K20" s="31" t="str">
        <f>IF('Hypothèses et Graphiques'!$C$8&gt;=K$2,-Population!I20,"-")</f>
        <v>-</v>
      </c>
      <c r="L20" s="31" t="str">
        <f>IF('Hypothèses et Graphiques'!$C$8&gt;=L$2,-Population!J20,"-")</f>
        <v>-</v>
      </c>
      <c r="M20" s="31" t="str">
        <f>IF('Hypothèses et Graphiques'!$C$8&gt;=M$2,-Population!K20,"-")</f>
        <v>-</v>
      </c>
      <c r="N20" s="31" t="str">
        <f>IF('Hypothèses et Graphiques'!$C$8&gt;=N$2,-Population!L20,"-")</f>
        <v>-</v>
      </c>
      <c r="O20" s="31" t="str">
        <f>IF('Hypothèses et Graphiques'!$C$8&gt;=O$2,-Population!M20,"-")</f>
        <v>-</v>
      </c>
      <c r="P20" s="31" t="str">
        <f>IF('Hypothèses et Graphiques'!$C$8&gt;=P$2,-Population!N20,"-")</f>
        <v>-</v>
      </c>
      <c r="Q20" s="31" t="str">
        <f>IF('Hypothèses et Graphiques'!$C$8&gt;=Q$2,-Population!O20,"-")</f>
        <v>-</v>
      </c>
      <c r="R20" s="31" t="str">
        <f>IF('Hypothèses et Graphiques'!$C$8&gt;=R$2,-Population!P20,"-")</f>
        <v>-</v>
      </c>
      <c r="S20" s="31" t="str">
        <f>IF('Hypothèses et Graphiques'!$C$8&gt;=S$2,-Population!Q20,"-")</f>
        <v>-</v>
      </c>
      <c r="T20" s="31" t="str">
        <f>IF('Hypothèses et Graphiques'!$C$8&gt;=T$2,-Population!R20,"-")</f>
        <v>-</v>
      </c>
      <c r="U20" s="31" t="str">
        <f>IF('Hypothèses et Graphiques'!$C$8&gt;=U$2,-Population!S20,"-")</f>
        <v>-</v>
      </c>
      <c r="V20" s="31" t="str">
        <f>IF('Hypothèses et Graphiques'!$C$8&gt;=V$2,-Population!T20,"-")</f>
        <v>-</v>
      </c>
    </row>
    <row r="21" spans="2:22" x14ac:dyDescent="0.25">
      <c r="B21" s="5" t="s">
        <v>18</v>
      </c>
      <c r="C21" s="32">
        <f t="shared" si="0"/>
        <v>-16816</v>
      </c>
      <c r="D21" s="17"/>
      <c r="E21" s="16">
        <f>IF(Population!C21="-","-",-Population!C21)</f>
        <v>-16816</v>
      </c>
      <c r="F21" s="31" t="str">
        <f>IF('Hypothèses et Graphiques'!$C$8&gt;=F$2,-Population!D21,"-")</f>
        <v>-</v>
      </c>
      <c r="G21" s="31" t="str">
        <f>IF('Hypothèses et Graphiques'!$C$8&gt;=G$2,-Population!E21,"-")</f>
        <v>-</v>
      </c>
      <c r="H21" s="31" t="str">
        <f>IF('Hypothèses et Graphiques'!$C$8&gt;=H$2,-Population!F21,"-")</f>
        <v>-</v>
      </c>
      <c r="I21" s="31" t="str">
        <f>IF('Hypothèses et Graphiques'!$C$8&gt;=I$2,-Population!G21,"-")</f>
        <v>-</v>
      </c>
      <c r="J21" s="31" t="str">
        <f>IF('Hypothèses et Graphiques'!$C$8&gt;=J$2,-Population!H21,"-")</f>
        <v>-</v>
      </c>
      <c r="K21" s="31" t="str">
        <f>IF('Hypothèses et Graphiques'!$C$8&gt;=K$2,-Population!I21,"-")</f>
        <v>-</v>
      </c>
      <c r="L21" s="31" t="str">
        <f>IF('Hypothèses et Graphiques'!$C$8&gt;=L$2,-Population!J21,"-")</f>
        <v>-</v>
      </c>
      <c r="M21" s="31" t="str">
        <f>IF('Hypothèses et Graphiques'!$C$8&gt;=M$2,-Population!K21,"-")</f>
        <v>-</v>
      </c>
      <c r="N21" s="31" t="str">
        <f>IF('Hypothèses et Graphiques'!$C$8&gt;=N$2,-Population!L21,"-")</f>
        <v>-</v>
      </c>
      <c r="O21" s="31" t="str">
        <f>IF('Hypothèses et Graphiques'!$C$8&gt;=O$2,-Population!M21,"-")</f>
        <v>-</v>
      </c>
      <c r="P21" s="31" t="str">
        <f>IF('Hypothèses et Graphiques'!$C$8&gt;=P$2,-Population!N21,"-")</f>
        <v>-</v>
      </c>
      <c r="Q21" s="31" t="str">
        <f>IF('Hypothèses et Graphiques'!$C$8&gt;=Q$2,-Population!O21,"-")</f>
        <v>-</v>
      </c>
      <c r="R21" s="31" t="str">
        <f>IF('Hypothèses et Graphiques'!$C$8&gt;=R$2,-Population!P21,"-")</f>
        <v>-</v>
      </c>
      <c r="S21" s="31" t="str">
        <f>IF('Hypothèses et Graphiques'!$C$8&gt;=S$2,-Population!Q21,"-")</f>
        <v>-</v>
      </c>
      <c r="T21" s="31" t="str">
        <f>IF('Hypothèses et Graphiques'!$C$8&gt;=T$2,-Population!R21,"-")</f>
        <v>-</v>
      </c>
      <c r="U21" s="31" t="str">
        <f>IF('Hypothèses et Graphiques'!$C$8&gt;=U$2,-Population!S21,"-")</f>
        <v>-</v>
      </c>
      <c r="V21" s="31" t="str">
        <f>IF('Hypothèses et Graphiques'!$C$8&gt;=V$2,-Population!T21,"-")</f>
        <v>-</v>
      </c>
    </row>
    <row r="22" spans="2:22" x14ac:dyDescent="0.25">
      <c r="B22" s="5" t="s">
        <v>19</v>
      </c>
      <c r="C22" s="32">
        <f t="shared" si="0"/>
        <v>-2836</v>
      </c>
      <c r="D22" s="17"/>
      <c r="E22" s="16">
        <f>IF(Population!C22="-","-",-Population!C22)</f>
        <v>-2836</v>
      </c>
      <c r="F22" s="31" t="str">
        <f>IF('Hypothèses et Graphiques'!$C$8&gt;=F$2,-Population!D22,"-")</f>
        <v>-</v>
      </c>
      <c r="G22" s="31" t="str">
        <f>IF('Hypothèses et Graphiques'!$C$8&gt;=G$2,-Population!E22,"-")</f>
        <v>-</v>
      </c>
      <c r="H22" s="31" t="str">
        <f>IF('Hypothèses et Graphiques'!$C$8&gt;=H$2,-Population!F22,"-")</f>
        <v>-</v>
      </c>
      <c r="I22" s="31" t="str">
        <f>IF('Hypothèses et Graphiques'!$C$8&gt;=I$2,-Population!G22,"-")</f>
        <v>-</v>
      </c>
      <c r="J22" s="31" t="str">
        <f>IF('Hypothèses et Graphiques'!$C$8&gt;=J$2,-Population!H22,"-")</f>
        <v>-</v>
      </c>
      <c r="K22" s="31" t="str">
        <f>IF('Hypothèses et Graphiques'!$C$8&gt;=K$2,-Population!I22,"-")</f>
        <v>-</v>
      </c>
      <c r="L22" s="31" t="str">
        <f>IF('Hypothèses et Graphiques'!$C$8&gt;=L$2,-Population!J22,"-")</f>
        <v>-</v>
      </c>
      <c r="M22" s="31" t="str">
        <f>IF('Hypothèses et Graphiques'!$C$8&gt;=M$2,-Population!K22,"-")</f>
        <v>-</v>
      </c>
      <c r="N22" s="31" t="str">
        <f>IF('Hypothèses et Graphiques'!$C$8&gt;=N$2,-Population!L22,"-")</f>
        <v>-</v>
      </c>
      <c r="O22" s="31" t="str">
        <f>IF('Hypothèses et Graphiques'!$C$8&gt;=O$2,-Population!M22,"-")</f>
        <v>-</v>
      </c>
      <c r="P22" s="31" t="str">
        <f>IF('Hypothèses et Graphiques'!$C$8&gt;=P$2,-Population!N22,"-")</f>
        <v>-</v>
      </c>
      <c r="Q22" s="31" t="str">
        <f>IF('Hypothèses et Graphiques'!$C$8&gt;=Q$2,-Population!O22,"-")</f>
        <v>-</v>
      </c>
      <c r="R22" s="31" t="str">
        <f>IF('Hypothèses et Graphiques'!$C$8&gt;=R$2,-Population!P22,"-")</f>
        <v>-</v>
      </c>
      <c r="S22" s="31" t="str">
        <f>IF('Hypothèses et Graphiques'!$C$8&gt;=S$2,-Population!Q22,"-")</f>
        <v>-</v>
      </c>
      <c r="T22" s="31" t="str">
        <f>IF('Hypothèses et Graphiques'!$C$8&gt;=T$2,-Population!R22,"-")</f>
        <v>-</v>
      </c>
      <c r="U22" s="31" t="str">
        <f>IF('Hypothèses et Graphiques'!$C$8&gt;=U$2,-Population!S22,"-")</f>
        <v>-</v>
      </c>
      <c r="V22" s="31" t="str">
        <f>IF('Hypothèses et Graphiques'!$C$8&gt;=V$2,-Population!T22,"-")</f>
        <v>-</v>
      </c>
    </row>
    <row r="23" spans="2:22" ht="14.4" thickBot="1" x14ac:dyDescent="0.3">
      <c r="B23" s="6" t="s">
        <v>20</v>
      </c>
      <c r="C23" s="32">
        <f t="shared" si="0"/>
        <v>-290</v>
      </c>
      <c r="D23" s="17"/>
      <c r="E23" s="16">
        <f>IF(Population!C23="-","-",-Population!C23)</f>
        <v>-290</v>
      </c>
      <c r="F23" s="31" t="str">
        <f>IF('Hypothèses et Graphiques'!$C$8&gt;=F$2,-Population!D23,"-")</f>
        <v>-</v>
      </c>
      <c r="G23" s="31" t="str">
        <f>IF('Hypothèses et Graphiques'!$C$8&gt;=G$2,-Population!E23,"-")</f>
        <v>-</v>
      </c>
      <c r="H23" s="31" t="str">
        <f>IF('Hypothèses et Graphiques'!$C$8&gt;=H$2,-Population!F23,"-")</f>
        <v>-</v>
      </c>
      <c r="I23" s="31" t="str">
        <f>IF('Hypothèses et Graphiques'!$C$8&gt;=I$2,-Population!G23,"-")</f>
        <v>-</v>
      </c>
      <c r="J23" s="31" t="str">
        <f>IF('Hypothèses et Graphiques'!$C$8&gt;=J$2,-Population!H23,"-")</f>
        <v>-</v>
      </c>
      <c r="K23" s="31" t="str">
        <f>IF('Hypothèses et Graphiques'!$C$8&gt;=K$2,-Population!I23,"-")</f>
        <v>-</v>
      </c>
      <c r="L23" s="31" t="str">
        <f>IF('Hypothèses et Graphiques'!$C$8&gt;=L$2,-Population!J23,"-")</f>
        <v>-</v>
      </c>
      <c r="M23" s="31" t="str">
        <f>IF('Hypothèses et Graphiques'!$C$8&gt;=M$2,-Population!K23,"-")</f>
        <v>-</v>
      </c>
      <c r="N23" s="31" t="str">
        <f>IF('Hypothèses et Graphiques'!$C$8&gt;=N$2,-Population!L23,"-")</f>
        <v>-</v>
      </c>
      <c r="O23" s="31" t="str">
        <f>IF('Hypothèses et Graphiques'!$C$8&gt;=O$2,-Population!M23,"-")</f>
        <v>-</v>
      </c>
      <c r="P23" s="31" t="str">
        <f>IF('Hypothèses et Graphiques'!$C$8&gt;=P$2,-Population!N23,"-")</f>
        <v>-</v>
      </c>
      <c r="Q23" s="31" t="str">
        <f>IF('Hypothèses et Graphiques'!$C$8&gt;=Q$2,-Population!O23,"-")</f>
        <v>-</v>
      </c>
      <c r="R23" s="31" t="str">
        <f>IF('Hypothèses et Graphiques'!$C$8&gt;=R$2,-Population!P23,"-")</f>
        <v>-</v>
      </c>
      <c r="S23" s="31" t="str">
        <f>IF('Hypothèses et Graphiques'!$C$8&gt;=S$2,-Population!Q23,"-")</f>
        <v>-</v>
      </c>
      <c r="T23" s="31" t="str">
        <f>IF('Hypothèses et Graphiques'!$C$8&gt;=T$2,-Population!R23,"-")</f>
        <v>-</v>
      </c>
      <c r="U23" s="31" t="str">
        <f>IF('Hypothèses et Graphiques'!$C$8&gt;=U$2,-Population!S23,"-")</f>
        <v>-</v>
      </c>
      <c r="V23" s="31" t="str">
        <f>IF('Hypothèses et Graphiques'!$C$8&gt;=V$2,-Population!T23,"-")</f>
        <v>-</v>
      </c>
    </row>
    <row r="24" spans="2:22" ht="14.4" thickBot="1" x14ac:dyDescent="0.3">
      <c r="C24" s="32"/>
    </row>
    <row r="25" spans="2:22" ht="14.4" thickBot="1" x14ac:dyDescent="0.3">
      <c r="B25" t="s">
        <v>22</v>
      </c>
      <c r="C25" s="32"/>
      <c r="E25" s="9">
        <v>2015</v>
      </c>
      <c r="F25" s="2">
        <v>2020</v>
      </c>
      <c r="G25" s="2">
        <v>2025</v>
      </c>
      <c r="H25" s="2">
        <v>2030</v>
      </c>
      <c r="I25" s="2">
        <v>2035</v>
      </c>
      <c r="J25" s="2">
        <v>2040</v>
      </c>
      <c r="K25" s="2">
        <v>2045</v>
      </c>
      <c r="L25" s="2">
        <v>2050</v>
      </c>
      <c r="M25" s="2">
        <v>2055</v>
      </c>
      <c r="N25" s="2">
        <v>2060</v>
      </c>
      <c r="O25" s="2">
        <v>2065</v>
      </c>
      <c r="P25" s="2">
        <v>2070</v>
      </c>
      <c r="Q25" s="2">
        <v>2075</v>
      </c>
      <c r="R25" s="2">
        <v>2080</v>
      </c>
      <c r="S25" s="2">
        <v>2085</v>
      </c>
      <c r="T25" s="2">
        <v>2090</v>
      </c>
      <c r="U25" s="2">
        <v>2095</v>
      </c>
      <c r="V25" s="3">
        <v>2100</v>
      </c>
    </row>
    <row r="26" spans="2:22" x14ac:dyDescent="0.25">
      <c r="B26" s="11" t="s">
        <v>7</v>
      </c>
      <c r="C26" s="32">
        <f t="shared" si="0"/>
        <v>205374</v>
      </c>
      <c r="D26" s="20"/>
      <c r="E26" s="16">
        <f>Population!C26</f>
        <v>205374</v>
      </c>
      <c r="F26" s="31" t="str">
        <f>IF('Hypothèses et Graphiques'!$C$8&gt;=F$2,Population!D26,"-")</f>
        <v>-</v>
      </c>
      <c r="G26" s="31" t="str">
        <f>IF('Hypothèses et Graphiques'!$C$8&gt;=G$2,Population!E26,"-")</f>
        <v>-</v>
      </c>
      <c r="H26" s="31" t="str">
        <f>IF('Hypothèses et Graphiques'!$C$8&gt;=H$2,Population!F26,"-")</f>
        <v>-</v>
      </c>
      <c r="I26" s="31" t="str">
        <f>IF('Hypothèses et Graphiques'!$C$8&gt;=I$2,Population!G26,"-")</f>
        <v>-</v>
      </c>
      <c r="J26" s="31" t="str">
        <f>IF('Hypothèses et Graphiques'!$C$8&gt;=J$2,Population!H26,"-")</f>
        <v>-</v>
      </c>
      <c r="K26" s="31" t="str">
        <f>IF('Hypothèses et Graphiques'!$C$8&gt;=K$2,Population!I26,"-")</f>
        <v>-</v>
      </c>
      <c r="L26" s="31" t="str">
        <f>IF('Hypothèses et Graphiques'!$C$8&gt;=L$2,Population!J26,"-")</f>
        <v>-</v>
      </c>
      <c r="M26" s="31" t="str">
        <f>IF('Hypothèses et Graphiques'!$C$8&gt;=M$2,Population!K26,"-")</f>
        <v>-</v>
      </c>
      <c r="N26" s="31" t="str">
        <f>IF('Hypothèses et Graphiques'!$C$8&gt;=N$2,Population!L26,"-")</f>
        <v>-</v>
      </c>
      <c r="O26" s="31" t="str">
        <f>IF('Hypothèses et Graphiques'!$C$8&gt;=O$2,Population!M26,"-")</f>
        <v>-</v>
      </c>
      <c r="P26" s="31" t="str">
        <f>IF('Hypothèses et Graphiques'!$C$8&gt;=P$2,Population!N26,"-")</f>
        <v>-</v>
      </c>
      <c r="Q26" s="31" t="str">
        <f>IF('Hypothèses et Graphiques'!$C$8&gt;=Q$2,Population!O26,"-")</f>
        <v>-</v>
      </c>
      <c r="R26" s="31" t="str">
        <f>IF('Hypothèses et Graphiques'!$C$8&gt;=R$2,Population!P26,"-")</f>
        <v>-</v>
      </c>
      <c r="S26" s="31" t="str">
        <f>IF('Hypothèses et Graphiques'!$C$8&gt;=S$2,Population!Q26,"-")</f>
        <v>-</v>
      </c>
      <c r="T26" s="31" t="str">
        <f>IF('Hypothèses et Graphiques'!$C$8&gt;=T$2,Population!R26,"-")</f>
        <v>-</v>
      </c>
      <c r="U26" s="31" t="str">
        <f>IF('Hypothèses et Graphiques'!$C$8&gt;=U$2,Population!S26,"-")</f>
        <v>-</v>
      </c>
      <c r="V26" s="31" t="str">
        <f>IF('Hypothèses et Graphiques'!$C$8&gt;=V$2,Population!T26,"-")</f>
        <v>-</v>
      </c>
    </row>
    <row r="27" spans="2:22" x14ac:dyDescent="0.25">
      <c r="B27" s="12" t="s">
        <v>8</v>
      </c>
      <c r="C27" s="32">
        <f t="shared" si="0"/>
        <v>201038</v>
      </c>
      <c r="D27" s="27"/>
      <c r="E27" s="16">
        <f>Population!C27</f>
        <v>201038</v>
      </c>
      <c r="F27" s="31" t="str">
        <f>IF('Hypothèses et Graphiques'!$C$8&gt;=F$2,Population!D27,"-")</f>
        <v>-</v>
      </c>
      <c r="G27" s="31" t="str">
        <f>IF('Hypothèses et Graphiques'!$C$8&gt;=G$2,Population!E27,"-")</f>
        <v>-</v>
      </c>
      <c r="H27" s="31" t="str">
        <f>IF('Hypothèses et Graphiques'!$C$8&gt;=H$2,Population!F27,"-")</f>
        <v>-</v>
      </c>
      <c r="I27" s="31" t="str">
        <f>IF('Hypothèses et Graphiques'!$C$8&gt;=I$2,Population!G27,"-")</f>
        <v>-</v>
      </c>
      <c r="J27" s="31" t="str">
        <f>IF('Hypothèses et Graphiques'!$C$8&gt;=J$2,Population!H27,"-")</f>
        <v>-</v>
      </c>
      <c r="K27" s="31" t="str">
        <f>IF('Hypothèses et Graphiques'!$C$8&gt;=K$2,Population!I27,"-")</f>
        <v>-</v>
      </c>
      <c r="L27" s="31" t="str">
        <f>IF('Hypothèses et Graphiques'!$C$8&gt;=L$2,Population!J27,"-")</f>
        <v>-</v>
      </c>
      <c r="M27" s="31" t="str">
        <f>IF('Hypothèses et Graphiques'!$C$8&gt;=M$2,Population!K27,"-")</f>
        <v>-</v>
      </c>
      <c r="N27" s="31" t="str">
        <f>IF('Hypothèses et Graphiques'!$C$8&gt;=N$2,Population!L27,"-")</f>
        <v>-</v>
      </c>
      <c r="O27" s="31" t="str">
        <f>IF('Hypothèses et Graphiques'!$C$8&gt;=O$2,Population!M27,"-")</f>
        <v>-</v>
      </c>
      <c r="P27" s="31" t="str">
        <f>IF('Hypothèses et Graphiques'!$C$8&gt;=P$2,Population!N27,"-")</f>
        <v>-</v>
      </c>
      <c r="Q27" s="31" t="str">
        <f>IF('Hypothèses et Graphiques'!$C$8&gt;=Q$2,Population!O27,"-")</f>
        <v>-</v>
      </c>
      <c r="R27" s="31" t="str">
        <f>IF('Hypothèses et Graphiques'!$C$8&gt;=R$2,Population!P27,"-")</f>
        <v>-</v>
      </c>
      <c r="S27" s="31" t="str">
        <f>IF('Hypothèses et Graphiques'!$C$8&gt;=S$2,Population!Q27,"-")</f>
        <v>-</v>
      </c>
      <c r="T27" s="31" t="str">
        <f>IF('Hypothèses et Graphiques'!$C$8&gt;=T$2,Population!R27,"-")</f>
        <v>-</v>
      </c>
      <c r="U27" s="31" t="str">
        <f>IF('Hypothèses et Graphiques'!$C$8&gt;=U$2,Population!S27,"-")</f>
        <v>-</v>
      </c>
      <c r="V27" s="31" t="str">
        <f>IF('Hypothèses et Graphiques'!$C$8&gt;=V$2,Population!T27,"-")</f>
        <v>-</v>
      </c>
    </row>
    <row r="28" spans="2:22" x14ac:dyDescent="0.25">
      <c r="B28" s="13" t="s">
        <v>9</v>
      </c>
      <c r="C28" s="32">
        <f t="shared" si="0"/>
        <v>195132</v>
      </c>
      <c r="D28" s="19"/>
      <c r="E28" s="16">
        <f>Population!C28</f>
        <v>195132</v>
      </c>
      <c r="F28" s="31" t="str">
        <f>IF('Hypothèses et Graphiques'!$C$8&gt;=F$2,Population!D28,"-")</f>
        <v>-</v>
      </c>
      <c r="G28" s="31" t="str">
        <f>IF('Hypothèses et Graphiques'!$C$8&gt;=G$2,Population!E28,"-")</f>
        <v>-</v>
      </c>
      <c r="H28" s="31" t="str">
        <f>IF('Hypothèses et Graphiques'!$C$8&gt;=H$2,Population!F28,"-")</f>
        <v>-</v>
      </c>
      <c r="I28" s="31" t="str">
        <f>IF('Hypothèses et Graphiques'!$C$8&gt;=I$2,Population!G28,"-")</f>
        <v>-</v>
      </c>
      <c r="J28" s="31" t="str">
        <f>IF('Hypothèses et Graphiques'!$C$8&gt;=J$2,Population!H28,"-")</f>
        <v>-</v>
      </c>
      <c r="K28" s="31" t="str">
        <f>IF('Hypothèses et Graphiques'!$C$8&gt;=K$2,Population!I28,"-")</f>
        <v>-</v>
      </c>
      <c r="L28" s="31" t="str">
        <f>IF('Hypothèses et Graphiques'!$C$8&gt;=L$2,Population!J28,"-")</f>
        <v>-</v>
      </c>
      <c r="M28" s="31" t="str">
        <f>IF('Hypothèses et Graphiques'!$C$8&gt;=M$2,Population!K28,"-")</f>
        <v>-</v>
      </c>
      <c r="N28" s="31" t="str">
        <f>IF('Hypothèses et Graphiques'!$C$8&gt;=N$2,Population!L28,"-")</f>
        <v>-</v>
      </c>
      <c r="O28" s="31" t="str">
        <f>IF('Hypothèses et Graphiques'!$C$8&gt;=O$2,Population!M28,"-")</f>
        <v>-</v>
      </c>
      <c r="P28" s="31" t="str">
        <f>IF('Hypothèses et Graphiques'!$C$8&gt;=P$2,Population!N28,"-")</f>
        <v>-</v>
      </c>
      <c r="Q28" s="31" t="str">
        <f>IF('Hypothèses et Graphiques'!$C$8&gt;=Q$2,Population!O28,"-")</f>
        <v>-</v>
      </c>
      <c r="R28" s="31" t="str">
        <f>IF('Hypothèses et Graphiques'!$C$8&gt;=R$2,Population!P28,"-")</f>
        <v>-</v>
      </c>
      <c r="S28" s="31" t="str">
        <f>IF('Hypothèses et Graphiques'!$C$8&gt;=S$2,Population!Q28,"-")</f>
        <v>-</v>
      </c>
      <c r="T28" s="31" t="str">
        <f>IF('Hypothèses et Graphiques'!$C$8&gt;=T$2,Population!R28,"-")</f>
        <v>-</v>
      </c>
      <c r="U28" s="31" t="str">
        <f>IF('Hypothèses et Graphiques'!$C$8&gt;=U$2,Population!S28,"-")</f>
        <v>-</v>
      </c>
      <c r="V28" s="31" t="str">
        <f>IF('Hypothèses et Graphiques'!$C$8&gt;=V$2,Population!T28,"-")</f>
        <v>-</v>
      </c>
    </row>
    <row r="29" spans="2:22" x14ac:dyDescent="0.25">
      <c r="B29" s="5" t="s">
        <v>0</v>
      </c>
      <c r="C29" s="32">
        <f t="shared" si="0"/>
        <v>213255</v>
      </c>
      <c r="D29" s="17"/>
      <c r="E29" s="16">
        <f>Population!C29</f>
        <v>213255</v>
      </c>
      <c r="F29" s="31" t="str">
        <f>IF('Hypothèses et Graphiques'!$C$8&gt;=F$2,Population!D29,"-")</f>
        <v>-</v>
      </c>
      <c r="G29" s="31" t="str">
        <f>IF('Hypothèses et Graphiques'!$C$8&gt;=G$2,Population!E29,"-")</f>
        <v>-</v>
      </c>
      <c r="H29" s="31" t="str">
        <f>IF('Hypothèses et Graphiques'!$C$8&gt;=H$2,Population!F29,"-")</f>
        <v>-</v>
      </c>
      <c r="I29" s="31" t="str">
        <f>IF('Hypothèses et Graphiques'!$C$8&gt;=I$2,Population!G29,"-")</f>
        <v>-</v>
      </c>
      <c r="J29" s="31" t="str">
        <f>IF('Hypothèses et Graphiques'!$C$8&gt;=J$2,Population!H29,"-")</f>
        <v>-</v>
      </c>
      <c r="K29" s="31" t="str">
        <f>IF('Hypothèses et Graphiques'!$C$8&gt;=K$2,Population!I29,"-")</f>
        <v>-</v>
      </c>
      <c r="L29" s="31" t="str">
        <f>IF('Hypothèses et Graphiques'!$C$8&gt;=L$2,Population!J29,"-")</f>
        <v>-</v>
      </c>
      <c r="M29" s="31" t="str">
        <f>IF('Hypothèses et Graphiques'!$C$8&gt;=M$2,Population!K29,"-")</f>
        <v>-</v>
      </c>
      <c r="N29" s="31" t="str">
        <f>IF('Hypothèses et Graphiques'!$C$8&gt;=N$2,Population!L29,"-")</f>
        <v>-</v>
      </c>
      <c r="O29" s="31" t="str">
        <f>IF('Hypothèses et Graphiques'!$C$8&gt;=O$2,Population!M29,"-")</f>
        <v>-</v>
      </c>
      <c r="P29" s="31" t="str">
        <f>IF('Hypothèses et Graphiques'!$C$8&gt;=P$2,Population!N29,"-")</f>
        <v>-</v>
      </c>
      <c r="Q29" s="31" t="str">
        <f>IF('Hypothèses et Graphiques'!$C$8&gt;=Q$2,Population!O29,"-")</f>
        <v>-</v>
      </c>
      <c r="R29" s="31" t="str">
        <f>IF('Hypothèses et Graphiques'!$C$8&gt;=R$2,Population!P29,"-")</f>
        <v>-</v>
      </c>
      <c r="S29" s="31" t="str">
        <f>IF('Hypothèses et Graphiques'!$C$8&gt;=S$2,Population!Q29,"-")</f>
        <v>-</v>
      </c>
      <c r="T29" s="31" t="str">
        <f>IF('Hypothèses et Graphiques'!$C$8&gt;=T$2,Population!R29,"-")</f>
        <v>-</v>
      </c>
      <c r="U29" s="31" t="str">
        <f>IF('Hypothèses et Graphiques'!$C$8&gt;=U$2,Population!S29,"-")</f>
        <v>-</v>
      </c>
      <c r="V29" s="31" t="str">
        <f>IF('Hypothèses et Graphiques'!$C$8&gt;=V$2,Population!T29,"-")</f>
        <v>-</v>
      </c>
    </row>
    <row r="30" spans="2:22" x14ac:dyDescent="0.25">
      <c r="B30" s="5" t="s">
        <v>1</v>
      </c>
      <c r="C30" s="32">
        <f t="shared" si="0"/>
        <v>243351</v>
      </c>
      <c r="D30" s="17"/>
      <c r="E30" s="16">
        <f>Population!C30</f>
        <v>243351</v>
      </c>
      <c r="F30" s="31" t="str">
        <f>IF('Hypothèses et Graphiques'!$C$8&gt;=F$2,Population!D30,"-")</f>
        <v>-</v>
      </c>
      <c r="G30" s="31" t="str">
        <f>IF('Hypothèses et Graphiques'!$C$8&gt;=G$2,Population!E30,"-")</f>
        <v>-</v>
      </c>
      <c r="H30" s="31" t="str">
        <f>IF('Hypothèses et Graphiques'!$C$8&gt;=H$2,Population!F30,"-")</f>
        <v>-</v>
      </c>
      <c r="I30" s="31" t="str">
        <f>IF('Hypothèses et Graphiques'!$C$8&gt;=I$2,Population!G30,"-")</f>
        <v>-</v>
      </c>
      <c r="J30" s="31" t="str">
        <f>IF('Hypothèses et Graphiques'!$C$8&gt;=J$2,Population!H30,"-")</f>
        <v>-</v>
      </c>
      <c r="K30" s="31" t="str">
        <f>IF('Hypothèses et Graphiques'!$C$8&gt;=K$2,Population!I30,"-")</f>
        <v>-</v>
      </c>
      <c r="L30" s="31" t="str">
        <f>IF('Hypothèses et Graphiques'!$C$8&gt;=L$2,Population!J30,"-")</f>
        <v>-</v>
      </c>
      <c r="M30" s="31" t="str">
        <f>IF('Hypothèses et Graphiques'!$C$8&gt;=M$2,Population!K30,"-")</f>
        <v>-</v>
      </c>
      <c r="N30" s="31" t="str">
        <f>IF('Hypothèses et Graphiques'!$C$8&gt;=N$2,Population!L30,"-")</f>
        <v>-</v>
      </c>
      <c r="O30" s="31" t="str">
        <f>IF('Hypothèses et Graphiques'!$C$8&gt;=O$2,Population!M30,"-")</f>
        <v>-</v>
      </c>
      <c r="P30" s="31" t="str">
        <f>IF('Hypothèses et Graphiques'!$C$8&gt;=P$2,Population!N30,"-")</f>
        <v>-</v>
      </c>
      <c r="Q30" s="31" t="str">
        <f>IF('Hypothèses et Graphiques'!$C$8&gt;=Q$2,Population!O30,"-")</f>
        <v>-</v>
      </c>
      <c r="R30" s="31" t="str">
        <f>IF('Hypothèses et Graphiques'!$C$8&gt;=R$2,Population!P30,"-")</f>
        <v>-</v>
      </c>
      <c r="S30" s="31" t="str">
        <f>IF('Hypothèses et Graphiques'!$C$8&gt;=S$2,Population!Q30,"-")</f>
        <v>-</v>
      </c>
      <c r="T30" s="31" t="str">
        <f>IF('Hypothèses et Graphiques'!$C$8&gt;=T$2,Population!R30,"-")</f>
        <v>-</v>
      </c>
      <c r="U30" s="31" t="str">
        <f>IF('Hypothèses et Graphiques'!$C$8&gt;=U$2,Population!S30,"-")</f>
        <v>-</v>
      </c>
      <c r="V30" s="31" t="str">
        <f>IF('Hypothèses et Graphiques'!$C$8&gt;=V$2,Population!T30,"-")</f>
        <v>-</v>
      </c>
    </row>
    <row r="31" spans="2:22" x14ac:dyDescent="0.25">
      <c r="B31" s="5" t="s">
        <v>2</v>
      </c>
      <c r="C31" s="32">
        <f t="shared" si="0"/>
        <v>277273</v>
      </c>
      <c r="D31" s="17"/>
      <c r="E31" s="16">
        <f>Population!C31</f>
        <v>277273</v>
      </c>
      <c r="F31" s="31" t="str">
        <f>IF('Hypothèses et Graphiques'!$C$8&gt;=F$2,Population!D31,"-")</f>
        <v>-</v>
      </c>
      <c r="G31" s="31" t="str">
        <f>IF('Hypothèses et Graphiques'!$C$8&gt;=G$2,Population!E31,"-")</f>
        <v>-</v>
      </c>
      <c r="H31" s="31" t="str">
        <f>IF('Hypothèses et Graphiques'!$C$8&gt;=H$2,Population!F31,"-")</f>
        <v>-</v>
      </c>
      <c r="I31" s="31" t="str">
        <f>IF('Hypothèses et Graphiques'!$C$8&gt;=I$2,Population!G31,"-")</f>
        <v>-</v>
      </c>
      <c r="J31" s="31" t="str">
        <f>IF('Hypothèses et Graphiques'!$C$8&gt;=J$2,Population!H31,"-")</f>
        <v>-</v>
      </c>
      <c r="K31" s="31" t="str">
        <f>IF('Hypothèses et Graphiques'!$C$8&gt;=K$2,Population!I31,"-")</f>
        <v>-</v>
      </c>
      <c r="L31" s="31" t="str">
        <f>IF('Hypothèses et Graphiques'!$C$8&gt;=L$2,Population!J31,"-")</f>
        <v>-</v>
      </c>
      <c r="M31" s="31" t="str">
        <f>IF('Hypothèses et Graphiques'!$C$8&gt;=M$2,Population!K31,"-")</f>
        <v>-</v>
      </c>
      <c r="N31" s="31" t="str">
        <f>IF('Hypothèses et Graphiques'!$C$8&gt;=N$2,Population!L31,"-")</f>
        <v>-</v>
      </c>
      <c r="O31" s="31" t="str">
        <f>IF('Hypothèses et Graphiques'!$C$8&gt;=O$2,Population!M31,"-")</f>
        <v>-</v>
      </c>
      <c r="P31" s="31" t="str">
        <f>IF('Hypothèses et Graphiques'!$C$8&gt;=P$2,Population!N31,"-")</f>
        <v>-</v>
      </c>
      <c r="Q31" s="31" t="str">
        <f>IF('Hypothèses et Graphiques'!$C$8&gt;=Q$2,Population!O31,"-")</f>
        <v>-</v>
      </c>
      <c r="R31" s="31" t="str">
        <f>IF('Hypothèses et Graphiques'!$C$8&gt;=R$2,Population!P31,"-")</f>
        <v>-</v>
      </c>
      <c r="S31" s="31" t="str">
        <f>IF('Hypothèses et Graphiques'!$C$8&gt;=S$2,Population!Q31,"-")</f>
        <v>-</v>
      </c>
      <c r="T31" s="31" t="str">
        <f>IF('Hypothèses et Graphiques'!$C$8&gt;=T$2,Population!R31,"-")</f>
        <v>-</v>
      </c>
      <c r="U31" s="31" t="str">
        <f>IF('Hypothèses et Graphiques'!$C$8&gt;=U$2,Population!S31,"-")</f>
        <v>-</v>
      </c>
      <c r="V31" s="31" t="str">
        <f>IF('Hypothèses et Graphiques'!$C$8&gt;=V$2,Population!T31,"-")</f>
        <v>-</v>
      </c>
    </row>
    <row r="32" spans="2:22" x14ac:dyDescent="0.25">
      <c r="B32" s="5" t="s">
        <v>3</v>
      </c>
      <c r="C32" s="32">
        <f t="shared" si="0"/>
        <v>291671</v>
      </c>
      <c r="D32" s="17"/>
      <c r="E32" s="16">
        <f>Population!C32</f>
        <v>291671</v>
      </c>
      <c r="F32" s="31" t="str">
        <f>IF('Hypothèses et Graphiques'!$C$8&gt;=F$2,Population!D32,"-")</f>
        <v>-</v>
      </c>
      <c r="G32" s="31" t="str">
        <f>IF('Hypothèses et Graphiques'!$C$8&gt;=G$2,Population!E32,"-")</f>
        <v>-</v>
      </c>
      <c r="H32" s="31" t="str">
        <f>IF('Hypothèses et Graphiques'!$C$8&gt;=H$2,Population!F32,"-")</f>
        <v>-</v>
      </c>
      <c r="I32" s="31" t="str">
        <f>IF('Hypothèses et Graphiques'!$C$8&gt;=I$2,Population!G32,"-")</f>
        <v>-</v>
      </c>
      <c r="J32" s="31" t="str">
        <f>IF('Hypothèses et Graphiques'!$C$8&gt;=J$2,Population!H32,"-")</f>
        <v>-</v>
      </c>
      <c r="K32" s="31" t="str">
        <f>IF('Hypothèses et Graphiques'!$C$8&gt;=K$2,Population!I32,"-")</f>
        <v>-</v>
      </c>
      <c r="L32" s="31" t="str">
        <f>IF('Hypothèses et Graphiques'!$C$8&gt;=L$2,Population!J32,"-")</f>
        <v>-</v>
      </c>
      <c r="M32" s="31" t="str">
        <f>IF('Hypothèses et Graphiques'!$C$8&gt;=M$2,Population!K32,"-")</f>
        <v>-</v>
      </c>
      <c r="N32" s="31" t="str">
        <f>IF('Hypothèses et Graphiques'!$C$8&gt;=N$2,Population!L32,"-")</f>
        <v>-</v>
      </c>
      <c r="O32" s="31" t="str">
        <f>IF('Hypothèses et Graphiques'!$C$8&gt;=O$2,Population!M32,"-")</f>
        <v>-</v>
      </c>
      <c r="P32" s="31" t="str">
        <f>IF('Hypothèses et Graphiques'!$C$8&gt;=P$2,Population!N32,"-")</f>
        <v>-</v>
      </c>
      <c r="Q32" s="31" t="str">
        <f>IF('Hypothèses et Graphiques'!$C$8&gt;=Q$2,Population!O32,"-")</f>
        <v>-</v>
      </c>
      <c r="R32" s="31" t="str">
        <f>IF('Hypothèses et Graphiques'!$C$8&gt;=R$2,Population!P32,"-")</f>
        <v>-</v>
      </c>
      <c r="S32" s="31" t="str">
        <f>IF('Hypothèses et Graphiques'!$C$8&gt;=S$2,Population!Q32,"-")</f>
        <v>-</v>
      </c>
      <c r="T32" s="31" t="str">
        <f>IF('Hypothèses et Graphiques'!$C$8&gt;=T$2,Population!R32,"-")</f>
        <v>-</v>
      </c>
      <c r="U32" s="31" t="str">
        <f>IF('Hypothèses et Graphiques'!$C$8&gt;=U$2,Population!S32,"-")</f>
        <v>-</v>
      </c>
      <c r="V32" s="31" t="str">
        <f>IF('Hypothèses et Graphiques'!$C$8&gt;=V$2,Population!T32,"-")</f>
        <v>-</v>
      </c>
    </row>
    <row r="33" spans="2:22" x14ac:dyDescent="0.25">
      <c r="B33" s="5" t="s">
        <v>4</v>
      </c>
      <c r="C33" s="32">
        <f t="shared" si="0"/>
        <v>287040</v>
      </c>
      <c r="D33" s="17"/>
      <c r="E33" s="16">
        <f>Population!C33</f>
        <v>287040</v>
      </c>
      <c r="F33" s="31" t="str">
        <f>IF('Hypothèses et Graphiques'!$C$8&gt;=F$2,Population!D33,"-")</f>
        <v>-</v>
      </c>
      <c r="G33" s="31" t="str">
        <f>IF('Hypothèses et Graphiques'!$C$8&gt;=G$2,Population!E33,"-")</f>
        <v>-</v>
      </c>
      <c r="H33" s="31" t="str">
        <f>IF('Hypothèses et Graphiques'!$C$8&gt;=H$2,Population!F33,"-")</f>
        <v>-</v>
      </c>
      <c r="I33" s="31" t="str">
        <f>IF('Hypothèses et Graphiques'!$C$8&gt;=I$2,Population!G33,"-")</f>
        <v>-</v>
      </c>
      <c r="J33" s="31" t="str">
        <f>IF('Hypothèses et Graphiques'!$C$8&gt;=J$2,Population!H33,"-")</f>
        <v>-</v>
      </c>
      <c r="K33" s="31" t="str">
        <f>IF('Hypothèses et Graphiques'!$C$8&gt;=K$2,Population!I33,"-")</f>
        <v>-</v>
      </c>
      <c r="L33" s="31" t="str">
        <f>IF('Hypothèses et Graphiques'!$C$8&gt;=L$2,Population!J33,"-")</f>
        <v>-</v>
      </c>
      <c r="M33" s="31" t="str">
        <f>IF('Hypothèses et Graphiques'!$C$8&gt;=M$2,Population!K33,"-")</f>
        <v>-</v>
      </c>
      <c r="N33" s="31" t="str">
        <f>IF('Hypothèses et Graphiques'!$C$8&gt;=N$2,Population!L33,"-")</f>
        <v>-</v>
      </c>
      <c r="O33" s="31" t="str">
        <f>IF('Hypothèses et Graphiques'!$C$8&gt;=O$2,Population!M33,"-")</f>
        <v>-</v>
      </c>
      <c r="P33" s="31" t="str">
        <f>IF('Hypothèses et Graphiques'!$C$8&gt;=P$2,Population!N33,"-")</f>
        <v>-</v>
      </c>
      <c r="Q33" s="31" t="str">
        <f>IF('Hypothèses et Graphiques'!$C$8&gt;=Q$2,Population!O33,"-")</f>
        <v>-</v>
      </c>
      <c r="R33" s="31" t="str">
        <f>IF('Hypothèses et Graphiques'!$C$8&gt;=R$2,Population!P33,"-")</f>
        <v>-</v>
      </c>
      <c r="S33" s="31" t="str">
        <f>IF('Hypothèses et Graphiques'!$C$8&gt;=S$2,Population!Q33,"-")</f>
        <v>-</v>
      </c>
      <c r="T33" s="31" t="str">
        <f>IF('Hypothèses et Graphiques'!$C$8&gt;=T$2,Population!R33,"-")</f>
        <v>-</v>
      </c>
      <c r="U33" s="31" t="str">
        <f>IF('Hypothèses et Graphiques'!$C$8&gt;=U$2,Population!S33,"-")</f>
        <v>-</v>
      </c>
      <c r="V33" s="31" t="str">
        <f>IF('Hypothèses et Graphiques'!$C$8&gt;=V$2,Population!T33,"-")</f>
        <v>-</v>
      </c>
    </row>
    <row r="34" spans="2:22" x14ac:dyDescent="0.25">
      <c r="B34" s="5" t="s">
        <v>5</v>
      </c>
      <c r="C34" s="32">
        <f t="shared" si="0"/>
        <v>292776</v>
      </c>
      <c r="D34" s="17"/>
      <c r="E34" s="16">
        <f>Population!C34</f>
        <v>292776</v>
      </c>
      <c r="F34" s="31" t="str">
        <f>IF('Hypothèses et Graphiques'!$C$8&gt;=F$2,Population!D34,"-")</f>
        <v>-</v>
      </c>
      <c r="G34" s="31" t="str">
        <f>IF('Hypothèses et Graphiques'!$C$8&gt;=G$2,Population!E34,"-")</f>
        <v>-</v>
      </c>
      <c r="H34" s="31" t="str">
        <f>IF('Hypothèses et Graphiques'!$C$8&gt;=H$2,Population!F34,"-")</f>
        <v>-</v>
      </c>
      <c r="I34" s="31" t="str">
        <f>IF('Hypothèses et Graphiques'!$C$8&gt;=I$2,Population!G34,"-")</f>
        <v>-</v>
      </c>
      <c r="J34" s="31" t="str">
        <f>IF('Hypothèses et Graphiques'!$C$8&gt;=J$2,Population!H34,"-")</f>
        <v>-</v>
      </c>
      <c r="K34" s="31" t="str">
        <f>IF('Hypothèses et Graphiques'!$C$8&gt;=K$2,Population!I34,"-")</f>
        <v>-</v>
      </c>
      <c r="L34" s="31" t="str">
        <f>IF('Hypothèses et Graphiques'!$C$8&gt;=L$2,Population!J34,"-")</f>
        <v>-</v>
      </c>
      <c r="M34" s="31" t="str">
        <f>IF('Hypothèses et Graphiques'!$C$8&gt;=M$2,Population!K34,"-")</f>
        <v>-</v>
      </c>
      <c r="N34" s="31" t="str">
        <f>IF('Hypothèses et Graphiques'!$C$8&gt;=N$2,Population!L34,"-")</f>
        <v>-</v>
      </c>
      <c r="O34" s="31" t="str">
        <f>IF('Hypothèses et Graphiques'!$C$8&gt;=O$2,Population!M34,"-")</f>
        <v>-</v>
      </c>
      <c r="P34" s="31" t="str">
        <f>IF('Hypothèses et Graphiques'!$C$8&gt;=P$2,Population!N34,"-")</f>
        <v>-</v>
      </c>
      <c r="Q34" s="31" t="str">
        <f>IF('Hypothèses et Graphiques'!$C$8&gt;=Q$2,Population!O34,"-")</f>
        <v>-</v>
      </c>
      <c r="R34" s="31" t="str">
        <f>IF('Hypothèses et Graphiques'!$C$8&gt;=R$2,Population!P34,"-")</f>
        <v>-</v>
      </c>
      <c r="S34" s="31" t="str">
        <f>IF('Hypothèses et Graphiques'!$C$8&gt;=S$2,Population!Q34,"-")</f>
        <v>-</v>
      </c>
      <c r="T34" s="31" t="str">
        <f>IF('Hypothèses et Graphiques'!$C$8&gt;=T$2,Population!R34,"-")</f>
        <v>-</v>
      </c>
      <c r="U34" s="31" t="str">
        <f>IF('Hypothèses et Graphiques'!$C$8&gt;=U$2,Population!S34,"-")</f>
        <v>-</v>
      </c>
      <c r="V34" s="31" t="str">
        <f>IF('Hypothèses et Graphiques'!$C$8&gt;=V$2,Population!T34,"-")</f>
        <v>-</v>
      </c>
    </row>
    <row r="35" spans="2:22" x14ac:dyDescent="0.25">
      <c r="B35" s="5" t="s">
        <v>6</v>
      </c>
      <c r="C35" s="32">
        <f t="shared" si="0"/>
        <v>324544</v>
      </c>
      <c r="D35" s="17"/>
      <c r="E35" s="16">
        <f>Population!C35</f>
        <v>324544</v>
      </c>
      <c r="F35" s="31" t="str">
        <f>IF('Hypothèses et Graphiques'!$C$8&gt;=F$2,Population!D35,"-")</f>
        <v>-</v>
      </c>
      <c r="G35" s="31" t="str">
        <f>IF('Hypothèses et Graphiques'!$C$8&gt;=G$2,Population!E35,"-")</f>
        <v>-</v>
      </c>
      <c r="H35" s="31" t="str">
        <f>IF('Hypothèses et Graphiques'!$C$8&gt;=H$2,Population!F35,"-")</f>
        <v>-</v>
      </c>
      <c r="I35" s="31" t="str">
        <f>IF('Hypothèses et Graphiques'!$C$8&gt;=I$2,Population!G35,"-")</f>
        <v>-</v>
      </c>
      <c r="J35" s="31" t="str">
        <f>IF('Hypothèses et Graphiques'!$C$8&gt;=J$2,Population!H35,"-")</f>
        <v>-</v>
      </c>
      <c r="K35" s="31" t="str">
        <f>IF('Hypothèses et Graphiques'!$C$8&gt;=K$2,Population!I35,"-")</f>
        <v>-</v>
      </c>
      <c r="L35" s="31" t="str">
        <f>IF('Hypothèses et Graphiques'!$C$8&gt;=L$2,Population!J35,"-")</f>
        <v>-</v>
      </c>
      <c r="M35" s="31" t="str">
        <f>IF('Hypothèses et Graphiques'!$C$8&gt;=M$2,Population!K35,"-")</f>
        <v>-</v>
      </c>
      <c r="N35" s="31" t="str">
        <f>IF('Hypothèses et Graphiques'!$C$8&gt;=N$2,Population!L35,"-")</f>
        <v>-</v>
      </c>
      <c r="O35" s="31" t="str">
        <f>IF('Hypothèses et Graphiques'!$C$8&gt;=O$2,Population!M35,"-")</f>
        <v>-</v>
      </c>
      <c r="P35" s="31" t="str">
        <f>IF('Hypothèses et Graphiques'!$C$8&gt;=P$2,Population!N35,"-")</f>
        <v>-</v>
      </c>
      <c r="Q35" s="31" t="str">
        <f>IF('Hypothèses et Graphiques'!$C$8&gt;=Q$2,Population!O35,"-")</f>
        <v>-</v>
      </c>
      <c r="R35" s="31" t="str">
        <f>IF('Hypothèses et Graphiques'!$C$8&gt;=R$2,Population!P35,"-")</f>
        <v>-</v>
      </c>
      <c r="S35" s="31" t="str">
        <f>IF('Hypothèses et Graphiques'!$C$8&gt;=S$2,Population!Q35,"-")</f>
        <v>-</v>
      </c>
      <c r="T35" s="31" t="str">
        <f>IF('Hypothèses et Graphiques'!$C$8&gt;=T$2,Population!R35,"-")</f>
        <v>-</v>
      </c>
      <c r="U35" s="31" t="str">
        <f>IF('Hypothèses et Graphiques'!$C$8&gt;=U$2,Population!S35,"-")</f>
        <v>-</v>
      </c>
      <c r="V35" s="31" t="str">
        <f>IF('Hypothèses et Graphiques'!$C$8&gt;=V$2,Population!T35,"-")</f>
        <v>-</v>
      </c>
    </row>
    <row r="36" spans="2:22" x14ac:dyDescent="0.25">
      <c r="B36" s="5" t="s">
        <v>10</v>
      </c>
      <c r="C36" s="32">
        <f t="shared" si="0"/>
        <v>324312</v>
      </c>
      <c r="D36" s="17"/>
      <c r="E36" s="16">
        <f>Population!C36</f>
        <v>324312</v>
      </c>
      <c r="F36" s="31" t="str">
        <f>IF('Hypothèses et Graphiques'!$C$8&gt;=F$2,Population!D36,"-")</f>
        <v>-</v>
      </c>
      <c r="G36" s="31" t="str">
        <f>IF('Hypothèses et Graphiques'!$C$8&gt;=G$2,Population!E36,"-")</f>
        <v>-</v>
      </c>
      <c r="H36" s="31" t="str">
        <f>IF('Hypothèses et Graphiques'!$C$8&gt;=H$2,Population!F36,"-")</f>
        <v>-</v>
      </c>
      <c r="I36" s="31" t="str">
        <f>IF('Hypothèses et Graphiques'!$C$8&gt;=I$2,Population!G36,"-")</f>
        <v>-</v>
      </c>
      <c r="J36" s="31" t="str">
        <f>IF('Hypothèses et Graphiques'!$C$8&gt;=J$2,Population!H36,"-")</f>
        <v>-</v>
      </c>
      <c r="K36" s="31" t="str">
        <f>IF('Hypothèses et Graphiques'!$C$8&gt;=K$2,Population!I36,"-")</f>
        <v>-</v>
      </c>
      <c r="L36" s="31" t="str">
        <f>IF('Hypothèses et Graphiques'!$C$8&gt;=L$2,Population!J36,"-")</f>
        <v>-</v>
      </c>
      <c r="M36" s="31" t="str">
        <f>IF('Hypothèses et Graphiques'!$C$8&gt;=M$2,Population!K36,"-")</f>
        <v>-</v>
      </c>
      <c r="N36" s="31" t="str">
        <f>IF('Hypothèses et Graphiques'!$C$8&gt;=N$2,Population!L36,"-")</f>
        <v>-</v>
      </c>
      <c r="O36" s="31" t="str">
        <f>IF('Hypothèses et Graphiques'!$C$8&gt;=O$2,Population!M36,"-")</f>
        <v>-</v>
      </c>
      <c r="P36" s="31" t="str">
        <f>IF('Hypothèses et Graphiques'!$C$8&gt;=P$2,Population!N36,"-")</f>
        <v>-</v>
      </c>
      <c r="Q36" s="31" t="str">
        <f>IF('Hypothèses et Graphiques'!$C$8&gt;=Q$2,Population!O36,"-")</f>
        <v>-</v>
      </c>
      <c r="R36" s="31" t="str">
        <f>IF('Hypothèses et Graphiques'!$C$8&gt;=R$2,Population!P36,"-")</f>
        <v>-</v>
      </c>
      <c r="S36" s="31" t="str">
        <f>IF('Hypothèses et Graphiques'!$C$8&gt;=S$2,Population!Q36,"-")</f>
        <v>-</v>
      </c>
      <c r="T36" s="31" t="str">
        <f>IF('Hypothèses et Graphiques'!$C$8&gt;=T$2,Population!R36,"-")</f>
        <v>-</v>
      </c>
      <c r="U36" s="31" t="str">
        <f>IF('Hypothèses et Graphiques'!$C$8&gt;=U$2,Population!S36,"-")</f>
        <v>-</v>
      </c>
      <c r="V36" s="31" t="str">
        <f>IF('Hypothèses et Graphiques'!$C$8&gt;=V$2,Population!T36,"-")</f>
        <v>-</v>
      </c>
    </row>
    <row r="37" spans="2:22" x14ac:dyDescent="0.25">
      <c r="B37" s="5" t="s">
        <v>11</v>
      </c>
      <c r="C37" s="32">
        <f t="shared" si="0"/>
        <v>277364</v>
      </c>
      <c r="D37" s="17"/>
      <c r="E37" s="16">
        <f>Population!C37</f>
        <v>277364</v>
      </c>
      <c r="F37" s="31" t="str">
        <f>IF('Hypothèses et Graphiques'!$C$8&gt;=F$2,Population!D37,"-")</f>
        <v>-</v>
      </c>
      <c r="G37" s="31" t="str">
        <f>IF('Hypothèses et Graphiques'!$C$8&gt;=G$2,Population!E37,"-")</f>
        <v>-</v>
      </c>
      <c r="H37" s="31" t="str">
        <f>IF('Hypothèses et Graphiques'!$C$8&gt;=H$2,Population!F37,"-")</f>
        <v>-</v>
      </c>
      <c r="I37" s="31" t="str">
        <f>IF('Hypothèses et Graphiques'!$C$8&gt;=I$2,Population!G37,"-")</f>
        <v>-</v>
      </c>
      <c r="J37" s="31" t="str">
        <f>IF('Hypothèses et Graphiques'!$C$8&gt;=J$2,Population!H37,"-")</f>
        <v>-</v>
      </c>
      <c r="K37" s="31" t="str">
        <f>IF('Hypothèses et Graphiques'!$C$8&gt;=K$2,Population!I37,"-")</f>
        <v>-</v>
      </c>
      <c r="L37" s="31" t="str">
        <f>IF('Hypothèses et Graphiques'!$C$8&gt;=L$2,Population!J37,"-")</f>
        <v>-</v>
      </c>
      <c r="M37" s="31" t="str">
        <f>IF('Hypothèses et Graphiques'!$C$8&gt;=M$2,Population!K37,"-")</f>
        <v>-</v>
      </c>
      <c r="N37" s="31" t="str">
        <f>IF('Hypothèses et Graphiques'!$C$8&gt;=N$2,Population!L37,"-")</f>
        <v>-</v>
      </c>
      <c r="O37" s="31" t="str">
        <f>IF('Hypothèses et Graphiques'!$C$8&gt;=O$2,Population!M37,"-")</f>
        <v>-</v>
      </c>
      <c r="P37" s="31" t="str">
        <f>IF('Hypothèses et Graphiques'!$C$8&gt;=P$2,Population!N37,"-")</f>
        <v>-</v>
      </c>
      <c r="Q37" s="31" t="str">
        <f>IF('Hypothèses et Graphiques'!$C$8&gt;=Q$2,Population!O37,"-")</f>
        <v>-</v>
      </c>
      <c r="R37" s="31" t="str">
        <f>IF('Hypothèses et Graphiques'!$C$8&gt;=R$2,Population!P37,"-")</f>
        <v>-</v>
      </c>
      <c r="S37" s="31" t="str">
        <f>IF('Hypothèses et Graphiques'!$C$8&gt;=S$2,Population!Q37,"-")</f>
        <v>-</v>
      </c>
      <c r="T37" s="31" t="str">
        <f>IF('Hypothèses et Graphiques'!$C$8&gt;=T$2,Population!R37,"-")</f>
        <v>-</v>
      </c>
      <c r="U37" s="31" t="str">
        <f>IF('Hypothèses et Graphiques'!$C$8&gt;=U$2,Population!S37,"-")</f>
        <v>-</v>
      </c>
      <c r="V37" s="31" t="str">
        <f>IF('Hypothèses et Graphiques'!$C$8&gt;=V$2,Population!T37,"-")</f>
        <v>-</v>
      </c>
    </row>
    <row r="38" spans="2:22" x14ac:dyDescent="0.25">
      <c r="B38" s="5" t="s">
        <v>12</v>
      </c>
      <c r="C38" s="32">
        <f t="shared" si="0"/>
        <v>237099</v>
      </c>
      <c r="D38" s="17"/>
      <c r="E38" s="16">
        <f>Population!C38</f>
        <v>237099</v>
      </c>
      <c r="F38" s="31" t="str">
        <f>IF('Hypothèses et Graphiques'!$C$8&gt;=F$2,Population!D38,"-")</f>
        <v>-</v>
      </c>
      <c r="G38" s="31" t="str">
        <f>IF('Hypothèses et Graphiques'!$C$8&gt;=G$2,Population!E38,"-")</f>
        <v>-</v>
      </c>
      <c r="H38" s="31" t="str">
        <f>IF('Hypothèses et Graphiques'!$C$8&gt;=H$2,Population!F38,"-")</f>
        <v>-</v>
      </c>
      <c r="I38" s="31" t="str">
        <f>IF('Hypothèses et Graphiques'!$C$8&gt;=I$2,Population!G38,"-")</f>
        <v>-</v>
      </c>
      <c r="J38" s="31" t="str">
        <f>IF('Hypothèses et Graphiques'!$C$8&gt;=J$2,Population!H38,"-")</f>
        <v>-</v>
      </c>
      <c r="K38" s="31" t="str">
        <f>IF('Hypothèses et Graphiques'!$C$8&gt;=K$2,Population!I38,"-")</f>
        <v>-</v>
      </c>
      <c r="L38" s="31" t="str">
        <f>IF('Hypothèses et Graphiques'!$C$8&gt;=L$2,Population!J38,"-")</f>
        <v>-</v>
      </c>
      <c r="M38" s="31" t="str">
        <f>IF('Hypothèses et Graphiques'!$C$8&gt;=M$2,Population!K38,"-")</f>
        <v>-</v>
      </c>
      <c r="N38" s="31" t="str">
        <f>IF('Hypothèses et Graphiques'!$C$8&gt;=N$2,Population!L38,"-")</f>
        <v>-</v>
      </c>
      <c r="O38" s="31" t="str">
        <f>IF('Hypothèses et Graphiques'!$C$8&gt;=O$2,Population!M38,"-")</f>
        <v>-</v>
      </c>
      <c r="P38" s="31" t="str">
        <f>IF('Hypothèses et Graphiques'!$C$8&gt;=P$2,Population!N38,"-")</f>
        <v>-</v>
      </c>
      <c r="Q38" s="31" t="str">
        <f>IF('Hypothèses et Graphiques'!$C$8&gt;=Q$2,Population!O38,"-")</f>
        <v>-</v>
      </c>
      <c r="R38" s="31" t="str">
        <f>IF('Hypothèses et Graphiques'!$C$8&gt;=R$2,Population!P38,"-")</f>
        <v>-</v>
      </c>
      <c r="S38" s="31" t="str">
        <f>IF('Hypothèses et Graphiques'!$C$8&gt;=S$2,Population!Q38,"-")</f>
        <v>-</v>
      </c>
      <c r="T38" s="31" t="str">
        <f>IF('Hypothèses et Graphiques'!$C$8&gt;=T$2,Population!R38,"-")</f>
        <v>-</v>
      </c>
      <c r="U38" s="31" t="str">
        <f>IF('Hypothèses et Graphiques'!$C$8&gt;=U$2,Population!S38,"-")</f>
        <v>-</v>
      </c>
      <c r="V38" s="31" t="str">
        <f>IF('Hypothèses et Graphiques'!$C$8&gt;=V$2,Population!T38,"-")</f>
        <v>-</v>
      </c>
    </row>
    <row r="39" spans="2:22" x14ac:dyDescent="0.25">
      <c r="B39" s="5" t="s">
        <v>13</v>
      </c>
      <c r="C39" s="32">
        <f t="shared" si="0"/>
        <v>223920</v>
      </c>
      <c r="D39" s="17"/>
      <c r="E39" s="16">
        <f>Population!C39</f>
        <v>223920</v>
      </c>
      <c r="F39" s="31" t="str">
        <f>IF('Hypothèses et Graphiques'!$C$8&gt;=F$2,Population!D39,"-")</f>
        <v>-</v>
      </c>
      <c r="G39" s="31" t="str">
        <f>IF('Hypothèses et Graphiques'!$C$8&gt;=G$2,Population!E39,"-")</f>
        <v>-</v>
      </c>
      <c r="H39" s="31" t="str">
        <f>IF('Hypothèses et Graphiques'!$C$8&gt;=H$2,Population!F39,"-")</f>
        <v>-</v>
      </c>
      <c r="I39" s="31" t="str">
        <f>IF('Hypothèses et Graphiques'!$C$8&gt;=I$2,Population!G39,"-")</f>
        <v>-</v>
      </c>
      <c r="J39" s="31" t="str">
        <f>IF('Hypothèses et Graphiques'!$C$8&gt;=J$2,Population!H39,"-")</f>
        <v>-</v>
      </c>
      <c r="K39" s="31" t="str">
        <f>IF('Hypothèses et Graphiques'!$C$8&gt;=K$2,Population!I39,"-")</f>
        <v>-</v>
      </c>
      <c r="L39" s="31" t="str">
        <f>IF('Hypothèses et Graphiques'!$C$8&gt;=L$2,Population!J39,"-")</f>
        <v>-</v>
      </c>
      <c r="M39" s="31" t="str">
        <f>IF('Hypothèses et Graphiques'!$C$8&gt;=M$2,Population!K39,"-")</f>
        <v>-</v>
      </c>
      <c r="N39" s="31" t="str">
        <f>IF('Hypothèses et Graphiques'!$C$8&gt;=N$2,Population!L39,"-")</f>
        <v>-</v>
      </c>
      <c r="O39" s="31" t="str">
        <f>IF('Hypothèses et Graphiques'!$C$8&gt;=O$2,Population!M39,"-")</f>
        <v>-</v>
      </c>
      <c r="P39" s="31" t="str">
        <f>IF('Hypothèses et Graphiques'!$C$8&gt;=P$2,Population!N39,"-")</f>
        <v>-</v>
      </c>
      <c r="Q39" s="31" t="str">
        <f>IF('Hypothèses et Graphiques'!$C$8&gt;=Q$2,Population!O39,"-")</f>
        <v>-</v>
      </c>
      <c r="R39" s="31" t="str">
        <f>IF('Hypothèses et Graphiques'!$C$8&gt;=R$2,Population!P39,"-")</f>
        <v>-</v>
      </c>
      <c r="S39" s="31" t="str">
        <f>IF('Hypothèses et Graphiques'!$C$8&gt;=S$2,Population!Q39,"-")</f>
        <v>-</v>
      </c>
      <c r="T39" s="31" t="str">
        <f>IF('Hypothèses et Graphiques'!$C$8&gt;=T$2,Population!R39,"-")</f>
        <v>-</v>
      </c>
      <c r="U39" s="31" t="str">
        <f>IF('Hypothèses et Graphiques'!$C$8&gt;=U$2,Population!S39,"-")</f>
        <v>-</v>
      </c>
      <c r="V39" s="31" t="str">
        <f>IF('Hypothèses et Graphiques'!$C$8&gt;=V$2,Population!T39,"-")</f>
        <v>-</v>
      </c>
    </row>
    <row r="40" spans="2:22" x14ac:dyDescent="0.25">
      <c r="B40" s="5" t="s">
        <v>14</v>
      </c>
      <c r="C40" s="32">
        <f t="shared" si="0"/>
        <v>195775</v>
      </c>
      <c r="D40" s="17"/>
      <c r="E40" s="16">
        <f>Population!C40</f>
        <v>195775</v>
      </c>
      <c r="F40" s="31" t="str">
        <f>IF('Hypothèses et Graphiques'!$C$8&gt;=F$2,Population!D40,"-")</f>
        <v>-</v>
      </c>
      <c r="G40" s="31" t="str">
        <f>IF('Hypothèses et Graphiques'!$C$8&gt;=G$2,Population!E40,"-")</f>
        <v>-</v>
      </c>
      <c r="H40" s="31" t="str">
        <f>IF('Hypothèses et Graphiques'!$C$8&gt;=H$2,Population!F40,"-")</f>
        <v>-</v>
      </c>
      <c r="I40" s="31" t="str">
        <f>IF('Hypothèses et Graphiques'!$C$8&gt;=I$2,Population!G40,"-")</f>
        <v>-</v>
      </c>
      <c r="J40" s="31" t="str">
        <f>IF('Hypothèses et Graphiques'!$C$8&gt;=J$2,Population!H40,"-")</f>
        <v>-</v>
      </c>
      <c r="K40" s="31" t="str">
        <f>IF('Hypothèses et Graphiques'!$C$8&gt;=K$2,Population!I40,"-")</f>
        <v>-</v>
      </c>
      <c r="L40" s="31" t="str">
        <f>IF('Hypothèses et Graphiques'!$C$8&gt;=L$2,Population!J40,"-")</f>
        <v>-</v>
      </c>
      <c r="M40" s="31" t="str">
        <f>IF('Hypothèses et Graphiques'!$C$8&gt;=M$2,Population!K40,"-")</f>
        <v>-</v>
      </c>
      <c r="N40" s="31" t="str">
        <f>IF('Hypothèses et Graphiques'!$C$8&gt;=N$2,Population!L40,"-")</f>
        <v>-</v>
      </c>
      <c r="O40" s="31" t="str">
        <f>IF('Hypothèses et Graphiques'!$C$8&gt;=O$2,Population!M40,"-")</f>
        <v>-</v>
      </c>
      <c r="P40" s="31" t="str">
        <f>IF('Hypothèses et Graphiques'!$C$8&gt;=P$2,Population!N40,"-")</f>
        <v>-</v>
      </c>
      <c r="Q40" s="31" t="str">
        <f>IF('Hypothèses et Graphiques'!$C$8&gt;=Q$2,Population!O40,"-")</f>
        <v>-</v>
      </c>
      <c r="R40" s="31" t="str">
        <f>IF('Hypothèses et Graphiques'!$C$8&gt;=R$2,Population!P40,"-")</f>
        <v>-</v>
      </c>
      <c r="S40" s="31" t="str">
        <f>IF('Hypothèses et Graphiques'!$C$8&gt;=S$2,Population!Q40,"-")</f>
        <v>-</v>
      </c>
      <c r="T40" s="31" t="str">
        <f>IF('Hypothèses et Graphiques'!$C$8&gt;=T$2,Population!R40,"-")</f>
        <v>-</v>
      </c>
      <c r="U40" s="31" t="str">
        <f>IF('Hypothèses et Graphiques'!$C$8&gt;=U$2,Population!S40,"-")</f>
        <v>-</v>
      </c>
      <c r="V40" s="31" t="str">
        <f>IF('Hypothèses et Graphiques'!$C$8&gt;=V$2,Population!T40,"-")</f>
        <v>-</v>
      </c>
    </row>
    <row r="41" spans="2:22" x14ac:dyDescent="0.25">
      <c r="B41" s="5" t="s">
        <v>15</v>
      </c>
      <c r="C41" s="32">
        <f t="shared" si="0"/>
        <v>152041</v>
      </c>
      <c r="D41" s="17"/>
      <c r="E41" s="16">
        <f>Population!C41</f>
        <v>152041</v>
      </c>
      <c r="F41" s="31" t="str">
        <f>IF('Hypothèses et Graphiques'!$C$8&gt;=F$2,Population!D41,"-")</f>
        <v>-</v>
      </c>
      <c r="G41" s="31" t="str">
        <f>IF('Hypothèses et Graphiques'!$C$8&gt;=G$2,Population!E41,"-")</f>
        <v>-</v>
      </c>
      <c r="H41" s="31" t="str">
        <f>IF('Hypothèses et Graphiques'!$C$8&gt;=H$2,Population!F41,"-")</f>
        <v>-</v>
      </c>
      <c r="I41" s="31" t="str">
        <f>IF('Hypothèses et Graphiques'!$C$8&gt;=I$2,Population!G41,"-")</f>
        <v>-</v>
      </c>
      <c r="J41" s="31" t="str">
        <f>IF('Hypothèses et Graphiques'!$C$8&gt;=J$2,Population!H41,"-")</f>
        <v>-</v>
      </c>
      <c r="K41" s="31" t="str">
        <f>IF('Hypothèses et Graphiques'!$C$8&gt;=K$2,Population!I41,"-")</f>
        <v>-</v>
      </c>
      <c r="L41" s="31" t="str">
        <f>IF('Hypothèses et Graphiques'!$C$8&gt;=L$2,Population!J41,"-")</f>
        <v>-</v>
      </c>
      <c r="M41" s="31" t="str">
        <f>IF('Hypothèses et Graphiques'!$C$8&gt;=M$2,Population!K41,"-")</f>
        <v>-</v>
      </c>
      <c r="N41" s="31" t="str">
        <f>IF('Hypothèses et Graphiques'!$C$8&gt;=N$2,Population!L41,"-")</f>
        <v>-</v>
      </c>
      <c r="O41" s="31" t="str">
        <f>IF('Hypothèses et Graphiques'!$C$8&gt;=O$2,Population!M41,"-")</f>
        <v>-</v>
      </c>
      <c r="P41" s="31" t="str">
        <f>IF('Hypothèses et Graphiques'!$C$8&gt;=P$2,Population!N41,"-")</f>
        <v>-</v>
      </c>
      <c r="Q41" s="31" t="str">
        <f>IF('Hypothèses et Graphiques'!$C$8&gt;=Q$2,Population!O41,"-")</f>
        <v>-</v>
      </c>
      <c r="R41" s="31" t="str">
        <f>IF('Hypothèses et Graphiques'!$C$8&gt;=R$2,Population!P41,"-")</f>
        <v>-</v>
      </c>
      <c r="S41" s="31" t="str">
        <f>IF('Hypothèses et Graphiques'!$C$8&gt;=S$2,Population!Q41,"-")</f>
        <v>-</v>
      </c>
      <c r="T41" s="31" t="str">
        <f>IF('Hypothèses et Graphiques'!$C$8&gt;=T$2,Population!R41,"-")</f>
        <v>-</v>
      </c>
      <c r="U41" s="31" t="str">
        <f>IF('Hypothèses et Graphiques'!$C$8&gt;=U$2,Population!S41,"-")</f>
        <v>-</v>
      </c>
      <c r="V41" s="31" t="str">
        <f>IF('Hypothèses et Graphiques'!$C$8&gt;=V$2,Population!T41,"-")</f>
        <v>-</v>
      </c>
    </row>
    <row r="42" spans="2:22" x14ac:dyDescent="0.25">
      <c r="B42" s="5" t="s">
        <v>16</v>
      </c>
      <c r="C42" s="32">
        <f t="shared" si="0"/>
        <v>125100</v>
      </c>
      <c r="D42" s="17"/>
      <c r="E42" s="16">
        <f>Population!C42</f>
        <v>125100</v>
      </c>
      <c r="F42" s="31" t="str">
        <f>IF('Hypothèses et Graphiques'!$C$8&gt;=F$2,Population!D42,"-")</f>
        <v>-</v>
      </c>
      <c r="G42" s="31" t="str">
        <f>IF('Hypothèses et Graphiques'!$C$8&gt;=G$2,Population!E42,"-")</f>
        <v>-</v>
      </c>
      <c r="H42" s="31" t="str">
        <f>IF('Hypothèses et Graphiques'!$C$8&gt;=H$2,Population!F42,"-")</f>
        <v>-</v>
      </c>
      <c r="I42" s="31" t="str">
        <f>IF('Hypothèses et Graphiques'!$C$8&gt;=I$2,Population!G42,"-")</f>
        <v>-</v>
      </c>
      <c r="J42" s="31" t="str">
        <f>IF('Hypothèses et Graphiques'!$C$8&gt;=J$2,Population!H42,"-")</f>
        <v>-</v>
      </c>
      <c r="K42" s="31" t="str">
        <f>IF('Hypothèses et Graphiques'!$C$8&gt;=K$2,Population!I42,"-")</f>
        <v>-</v>
      </c>
      <c r="L42" s="31" t="str">
        <f>IF('Hypothèses et Graphiques'!$C$8&gt;=L$2,Population!J42,"-")</f>
        <v>-</v>
      </c>
      <c r="M42" s="31" t="str">
        <f>IF('Hypothèses et Graphiques'!$C$8&gt;=M$2,Population!K42,"-")</f>
        <v>-</v>
      </c>
      <c r="N42" s="31" t="str">
        <f>IF('Hypothèses et Graphiques'!$C$8&gt;=N$2,Population!L42,"-")</f>
        <v>-</v>
      </c>
      <c r="O42" s="31" t="str">
        <f>IF('Hypothèses et Graphiques'!$C$8&gt;=O$2,Population!M42,"-")</f>
        <v>-</v>
      </c>
      <c r="P42" s="31" t="str">
        <f>IF('Hypothèses et Graphiques'!$C$8&gt;=P$2,Population!N42,"-")</f>
        <v>-</v>
      </c>
      <c r="Q42" s="31" t="str">
        <f>IF('Hypothèses et Graphiques'!$C$8&gt;=Q$2,Population!O42,"-")</f>
        <v>-</v>
      </c>
      <c r="R42" s="31" t="str">
        <f>IF('Hypothèses et Graphiques'!$C$8&gt;=R$2,Population!P42,"-")</f>
        <v>-</v>
      </c>
      <c r="S42" s="31" t="str">
        <f>IF('Hypothèses et Graphiques'!$C$8&gt;=S$2,Population!Q42,"-")</f>
        <v>-</v>
      </c>
      <c r="T42" s="31" t="str">
        <f>IF('Hypothèses et Graphiques'!$C$8&gt;=T$2,Population!R42,"-")</f>
        <v>-</v>
      </c>
      <c r="U42" s="31" t="str">
        <f>IF('Hypothèses et Graphiques'!$C$8&gt;=U$2,Population!S42,"-")</f>
        <v>-</v>
      </c>
      <c r="V42" s="31" t="str">
        <f>IF('Hypothèses et Graphiques'!$C$8&gt;=V$2,Population!T42,"-")</f>
        <v>-</v>
      </c>
    </row>
    <row r="43" spans="2:22" x14ac:dyDescent="0.25">
      <c r="B43" s="5" t="s">
        <v>17</v>
      </c>
      <c r="C43" s="32">
        <f t="shared" si="0"/>
        <v>86561</v>
      </c>
      <c r="D43" s="17"/>
      <c r="E43" s="16">
        <f>Population!C43</f>
        <v>86561</v>
      </c>
      <c r="F43" s="31" t="str">
        <f>IF('Hypothèses et Graphiques'!$C$8&gt;=F$2,Population!D43,"-")</f>
        <v>-</v>
      </c>
      <c r="G43" s="31" t="str">
        <f>IF('Hypothèses et Graphiques'!$C$8&gt;=G$2,Population!E43,"-")</f>
        <v>-</v>
      </c>
      <c r="H43" s="31" t="str">
        <f>IF('Hypothèses et Graphiques'!$C$8&gt;=H$2,Population!F43,"-")</f>
        <v>-</v>
      </c>
      <c r="I43" s="31" t="str">
        <f>IF('Hypothèses et Graphiques'!$C$8&gt;=I$2,Population!G43,"-")</f>
        <v>-</v>
      </c>
      <c r="J43" s="31" t="str">
        <f>IF('Hypothèses et Graphiques'!$C$8&gt;=J$2,Population!H43,"-")</f>
        <v>-</v>
      </c>
      <c r="K43" s="31" t="str">
        <f>IF('Hypothèses et Graphiques'!$C$8&gt;=K$2,Population!I43,"-")</f>
        <v>-</v>
      </c>
      <c r="L43" s="31" t="str">
        <f>IF('Hypothèses et Graphiques'!$C$8&gt;=L$2,Population!J43,"-")</f>
        <v>-</v>
      </c>
      <c r="M43" s="31" t="str">
        <f>IF('Hypothèses et Graphiques'!$C$8&gt;=M$2,Population!K43,"-")</f>
        <v>-</v>
      </c>
      <c r="N43" s="31" t="str">
        <f>IF('Hypothèses et Graphiques'!$C$8&gt;=N$2,Population!L43,"-")</f>
        <v>-</v>
      </c>
      <c r="O43" s="31" t="str">
        <f>IF('Hypothèses et Graphiques'!$C$8&gt;=O$2,Population!M43,"-")</f>
        <v>-</v>
      </c>
      <c r="P43" s="31" t="str">
        <f>IF('Hypothèses et Graphiques'!$C$8&gt;=P$2,Population!N43,"-")</f>
        <v>-</v>
      </c>
      <c r="Q43" s="31" t="str">
        <f>IF('Hypothèses et Graphiques'!$C$8&gt;=Q$2,Population!O43,"-")</f>
        <v>-</v>
      </c>
      <c r="R43" s="31" t="str">
        <f>IF('Hypothèses et Graphiques'!$C$8&gt;=R$2,Population!P43,"-")</f>
        <v>-</v>
      </c>
      <c r="S43" s="31" t="str">
        <f>IF('Hypothèses et Graphiques'!$C$8&gt;=S$2,Population!Q43,"-")</f>
        <v>-</v>
      </c>
      <c r="T43" s="31" t="str">
        <f>IF('Hypothèses et Graphiques'!$C$8&gt;=T$2,Population!R43,"-")</f>
        <v>-</v>
      </c>
      <c r="U43" s="31" t="str">
        <f>IF('Hypothèses et Graphiques'!$C$8&gt;=U$2,Population!S43,"-")</f>
        <v>-</v>
      </c>
      <c r="V43" s="31" t="str">
        <f>IF('Hypothèses et Graphiques'!$C$8&gt;=V$2,Population!T43,"-")</f>
        <v>-</v>
      </c>
    </row>
    <row r="44" spans="2:22" x14ac:dyDescent="0.25">
      <c r="B44" s="5" t="s">
        <v>18</v>
      </c>
      <c r="C44" s="32">
        <f t="shared" si="0"/>
        <v>41329</v>
      </c>
      <c r="D44" s="17"/>
      <c r="E44" s="16">
        <f>Population!C44</f>
        <v>41329</v>
      </c>
      <c r="F44" s="31" t="str">
        <f>IF('Hypothèses et Graphiques'!$C$8&gt;=F$2,Population!D44,"-")</f>
        <v>-</v>
      </c>
      <c r="G44" s="31" t="str">
        <f>IF('Hypothèses et Graphiques'!$C$8&gt;=G$2,Population!E44,"-")</f>
        <v>-</v>
      </c>
      <c r="H44" s="31" t="str">
        <f>IF('Hypothèses et Graphiques'!$C$8&gt;=H$2,Population!F44,"-")</f>
        <v>-</v>
      </c>
      <c r="I44" s="31" t="str">
        <f>IF('Hypothèses et Graphiques'!$C$8&gt;=I$2,Population!G44,"-")</f>
        <v>-</v>
      </c>
      <c r="J44" s="31" t="str">
        <f>IF('Hypothèses et Graphiques'!$C$8&gt;=J$2,Population!H44,"-")</f>
        <v>-</v>
      </c>
      <c r="K44" s="31" t="str">
        <f>IF('Hypothèses et Graphiques'!$C$8&gt;=K$2,Population!I44,"-")</f>
        <v>-</v>
      </c>
      <c r="L44" s="31" t="str">
        <f>IF('Hypothèses et Graphiques'!$C$8&gt;=L$2,Population!J44,"-")</f>
        <v>-</v>
      </c>
      <c r="M44" s="31" t="str">
        <f>IF('Hypothèses et Graphiques'!$C$8&gt;=M$2,Population!K44,"-")</f>
        <v>-</v>
      </c>
      <c r="N44" s="31" t="str">
        <f>IF('Hypothèses et Graphiques'!$C$8&gt;=N$2,Population!L44,"-")</f>
        <v>-</v>
      </c>
      <c r="O44" s="31" t="str">
        <f>IF('Hypothèses et Graphiques'!$C$8&gt;=O$2,Population!M44,"-")</f>
        <v>-</v>
      </c>
      <c r="P44" s="31" t="str">
        <f>IF('Hypothèses et Graphiques'!$C$8&gt;=P$2,Population!N44,"-")</f>
        <v>-</v>
      </c>
      <c r="Q44" s="31" t="str">
        <f>IF('Hypothèses et Graphiques'!$C$8&gt;=Q$2,Population!O44,"-")</f>
        <v>-</v>
      </c>
      <c r="R44" s="31" t="str">
        <f>IF('Hypothèses et Graphiques'!$C$8&gt;=R$2,Population!P44,"-")</f>
        <v>-</v>
      </c>
      <c r="S44" s="31" t="str">
        <f>IF('Hypothèses et Graphiques'!$C$8&gt;=S$2,Population!Q44,"-")</f>
        <v>-</v>
      </c>
      <c r="T44" s="31" t="str">
        <f>IF('Hypothèses et Graphiques'!$C$8&gt;=T$2,Population!R44,"-")</f>
        <v>-</v>
      </c>
      <c r="U44" s="31" t="str">
        <f>IF('Hypothèses et Graphiques'!$C$8&gt;=U$2,Population!S44,"-")</f>
        <v>-</v>
      </c>
      <c r="V44" s="31" t="str">
        <f>IF('Hypothèses et Graphiques'!$C$8&gt;=V$2,Population!T44,"-")</f>
        <v>-</v>
      </c>
    </row>
    <row r="45" spans="2:22" x14ac:dyDescent="0.25">
      <c r="B45" s="5" t="s">
        <v>19</v>
      </c>
      <c r="C45" s="32">
        <f t="shared" si="0"/>
        <v>9428</v>
      </c>
      <c r="D45" s="17"/>
      <c r="E45" s="16">
        <f>Population!C45</f>
        <v>9428</v>
      </c>
      <c r="F45" s="31" t="str">
        <f>IF('Hypothèses et Graphiques'!$C$8&gt;=F$2,Population!D45,"-")</f>
        <v>-</v>
      </c>
      <c r="G45" s="31" t="str">
        <f>IF('Hypothèses et Graphiques'!$C$8&gt;=G$2,Population!E45,"-")</f>
        <v>-</v>
      </c>
      <c r="H45" s="31" t="str">
        <f>IF('Hypothèses et Graphiques'!$C$8&gt;=H$2,Population!F45,"-")</f>
        <v>-</v>
      </c>
      <c r="I45" s="31" t="str">
        <f>IF('Hypothèses et Graphiques'!$C$8&gt;=I$2,Population!G45,"-")</f>
        <v>-</v>
      </c>
      <c r="J45" s="31" t="str">
        <f>IF('Hypothèses et Graphiques'!$C$8&gt;=J$2,Population!H45,"-")</f>
        <v>-</v>
      </c>
      <c r="K45" s="31" t="str">
        <f>IF('Hypothèses et Graphiques'!$C$8&gt;=K$2,Population!I45,"-")</f>
        <v>-</v>
      </c>
      <c r="L45" s="31" t="str">
        <f>IF('Hypothèses et Graphiques'!$C$8&gt;=L$2,Population!J45,"-")</f>
        <v>-</v>
      </c>
      <c r="M45" s="31" t="str">
        <f>IF('Hypothèses et Graphiques'!$C$8&gt;=M$2,Population!K45,"-")</f>
        <v>-</v>
      </c>
      <c r="N45" s="31" t="str">
        <f>IF('Hypothèses et Graphiques'!$C$8&gt;=N$2,Population!L45,"-")</f>
        <v>-</v>
      </c>
      <c r="O45" s="31" t="str">
        <f>IF('Hypothèses et Graphiques'!$C$8&gt;=O$2,Population!M45,"-")</f>
        <v>-</v>
      </c>
      <c r="P45" s="31" t="str">
        <f>IF('Hypothèses et Graphiques'!$C$8&gt;=P$2,Population!N45,"-")</f>
        <v>-</v>
      </c>
      <c r="Q45" s="31" t="str">
        <f>IF('Hypothèses et Graphiques'!$C$8&gt;=Q$2,Population!O45,"-")</f>
        <v>-</v>
      </c>
      <c r="R45" s="31" t="str">
        <f>IF('Hypothèses et Graphiques'!$C$8&gt;=R$2,Population!P45,"-")</f>
        <v>-</v>
      </c>
      <c r="S45" s="31" t="str">
        <f>IF('Hypothèses et Graphiques'!$C$8&gt;=S$2,Population!Q45,"-")</f>
        <v>-</v>
      </c>
      <c r="T45" s="31" t="str">
        <f>IF('Hypothèses et Graphiques'!$C$8&gt;=T$2,Population!R45,"-")</f>
        <v>-</v>
      </c>
      <c r="U45" s="31" t="str">
        <f>IF('Hypothèses et Graphiques'!$C$8&gt;=U$2,Population!S45,"-")</f>
        <v>-</v>
      </c>
      <c r="V45" s="31" t="str">
        <f>IF('Hypothèses et Graphiques'!$C$8&gt;=V$2,Population!T45,"-")</f>
        <v>-</v>
      </c>
    </row>
    <row r="46" spans="2:22" ht="14.4" thickBot="1" x14ac:dyDescent="0.3">
      <c r="B46" s="6" t="s">
        <v>20</v>
      </c>
      <c r="C46" s="32">
        <f t="shared" si="0"/>
        <v>1272</v>
      </c>
      <c r="D46" s="17"/>
      <c r="E46" s="16">
        <f>Population!C46</f>
        <v>1272</v>
      </c>
      <c r="F46" s="31" t="str">
        <f>IF('Hypothèses et Graphiques'!$C$8&gt;=F$2,Population!D46,"-")</f>
        <v>-</v>
      </c>
      <c r="G46" s="31" t="str">
        <f>IF('Hypothèses et Graphiques'!$C$8&gt;=G$2,Population!E46,"-")</f>
        <v>-</v>
      </c>
      <c r="H46" s="31" t="str">
        <f>IF('Hypothèses et Graphiques'!$C$8&gt;=H$2,Population!F46,"-")</f>
        <v>-</v>
      </c>
      <c r="I46" s="31" t="str">
        <f>IF('Hypothèses et Graphiques'!$C$8&gt;=I$2,Population!G46,"-")</f>
        <v>-</v>
      </c>
      <c r="J46" s="31" t="str">
        <f>IF('Hypothèses et Graphiques'!$C$8&gt;=J$2,Population!H46,"-")</f>
        <v>-</v>
      </c>
      <c r="K46" s="31" t="str">
        <f>IF('Hypothèses et Graphiques'!$C$8&gt;=K$2,Population!I46,"-")</f>
        <v>-</v>
      </c>
      <c r="L46" s="31" t="str">
        <f>IF('Hypothèses et Graphiques'!$C$8&gt;=L$2,Population!J46,"-")</f>
        <v>-</v>
      </c>
      <c r="M46" s="31" t="str">
        <f>IF('Hypothèses et Graphiques'!$C$8&gt;=M$2,Population!K46,"-")</f>
        <v>-</v>
      </c>
      <c r="N46" s="31" t="str">
        <f>IF('Hypothèses et Graphiques'!$C$8&gt;=N$2,Population!L46,"-")</f>
        <v>-</v>
      </c>
      <c r="O46" s="31" t="str">
        <f>IF('Hypothèses et Graphiques'!$C$8&gt;=O$2,Population!M46,"-")</f>
        <v>-</v>
      </c>
      <c r="P46" s="31" t="str">
        <f>IF('Hypothèses et Graphiques'!$C$8&gt;=P$2,Population!N46,"-")</f>
        <v>-</v>
      </c>
      <c r="Q46" s="31" t="str">
        <f>IF('Hypothèses et Graphiques'!$C$8&gt;=Q$2,Population!O46,"-")</f>
        <v>-</v>
      </c>
      <c r="R46" s="31" t="str">
        <f>IF('Hypothèses et Graphiques'!$C$8&gt;=R$2,Population!P46,"-")</f>
        <v>-</v>
      </c>
      <c r="S46" s="31" t="str">
        <f>IF('Hypothèses et Graphiques'!$C$8&gt;=S$2,Population!Q46,"-")</f>
        <v>-</v>
      </c>
      <c r="T46" s="31" t="str">
        <f>IF('Hypothèses et Graphiques'!$C$8&gt;=T$2,Population!R46,"-")</f>
        <v>-</v>
      </c>
      <c r="U46" s="31" t="str">
        <f>IF('Hypothèses et Graphiques'!$C$8&gt;=U$2,Population!S46,"-")</f>
        <v>-</v>
      </c>
      <c r="V46" s="31" t="str">
        <f>IF('Hypothèses et Graphiques'!$C$8&gt;=V$2,Population!T46,"-")</f>
        <v>-</v>
      </c>
    </row>
    <row r="48" spans="2:22" x14ac:dyDescent="0.25">
      <c r="B48" t="s">
        <v>46</v>
      </c>
      <c r="E48" s="14">
        <f>IF('Hypothèses et Graphiques'!$C$8&gt;='Graphique Evolution et Pyramide'!E2,-SUM(E3:E23)+SUM(E26:E46),"-")</f>
        <v>8327126</v>
      </c>
      <c r="F48" s="14" t="str">
        <f>IF('Hypothèses et Graphiques'!$C$8&gt;='Graphique Evolution et Pyramide'!F2,-SUM(F3:F23)+SUM(F26:F46),"-")</f>
        <v>-</v>
      </c>
      <c r="G48" s="14" t="str">
        <f>IF('Hypothèses et Graphiques'!$C$8&gt;='Graphique Evolution et Pyramide'!G2,-SUM(G3:G23)+SUM(G26:G46),"-")</f>
        <v>-</v>
      </c>
      <c r="H48" s="14" t="str">
        <f>IF('Hypothèses et Graphiques'!$C$8&gt;='Graphique Evolution et Pyramide'!H2,-SUM(H3:H23)+SUM(H26:H46),"-")</f>
        <v>-</v>
      </c>
      <c r="I48" s="14" t="str">
        <f>IF('Hypothèses et Graphiques'!$C$8&gt;='Graphique Evolution et Pyramide'!I2,-SUM(I3:I23)+SUM(I26:I46),"-")</f>
        <v>-</v>
      </c>
      <c r="J48" s="14" t="str">
        <f>IF('Hypothèses et Graphiques'!$C$8&gt;='Graphique Evolution et Pyramide'!J2,-SUM(J3:J23)+SUM(J26:J46),"-")</f>
        <v>-</v>
      </c>
      <c r="K48" s="14" t="str">
        <f>IF('Hypothèses et Graphiques'!$C$8&gt;='Graphique Evolution et Pyramide'!K2,-SUM(K3:K23)+SUM(K26:K46),"-")</f>
        <v>-</v>
      </c>
      <c r="L48" s="14" t="str">
        <f>IF('Hypothèses et Graphiques'!$C$8&gt;='Graphique Evolution et Pyramide'!L2,-SUM(L3:L23)+SUM(L26:L46),"-")</f>
        <v>-</v>
      </c>
      <c r="M48" s="14" t="str">
        <f>IF('Hypothèses et Graphiques'!$C$8&gt;='Graphique Evolution et Pyramide'!M2,-SUM(M3:M23)+SUM(M26:M46),"-")</f>
        <v>-</v>
      </c>
      <c r="N48" s="14" t="str">
        <f>IF('Hypothèses et Graphiques'!$C$8&gt;='Graphique Evolution et Pyramide'!N2,-SUM(N3:N23)+SUM(N26:N46),"-")</f>
        <v>-</v>
      </c>
      <c r="O48" s="14" t="str">
        <f>IF('Hypothèses et Graphiques'!$C$8&gt;='Graphique Evolution et Pyramide'!O2,-SUM(O3:O23)+SUM(O26:O46),"-")</f>
        <v>-</v>
      </c>
      <c r="P48" s="14" t="str">
        <f>IF('Hypothèses et Graphiques'!$C$8&gt;='Graphique Evolution et Pyramide'!P2,-SUM(P3:P23)+SUM(P26:P46),"-")</f>
        <v>-</v>
      </c>
      <c r="Q48" s="14" t="str">
        <f>IF('Hypothèses et Graphiques'!$C$8&gt;='Graphique Evolution et Pyramide'!Q2,-SUM(Q3:Q23)+SUM(Q26:Q46),"-")</f>
        <v>-</v>
      </c>
      <c r="R48" s="14" t="str">
        <f>IF('Hypothèses et Graphiques'!$C$8&gt;='Graphique Evolution et Pyramide'!R2,-SUM(R3:R23)+SUM(R26:R46),"-")</f>
        <v>-</v>
      </c>
      <c r="S48" s="14" t="str">
        <f>IF('Hypothèses et Graphiques'!$C$8&gt;='Graphique Evolution et Pyramide'!S2,-SUM(S3:S23)+SUM(S26:S46),"-")</f>
        <v>-</v>
      </c>
      <c r="T48" s="14" t="str">
        <f>IF('Hypothèses et Graphiques'!$C$8&gt;='Graphique Evolution et Pyramide'!T2,-SUM(T3:T23)+SUM(T26:T46),"-")</f>
        <v>-</v>
      </c>
      <c r="U48" s="14" t="str">
        <f>IF('Hypothèses et Graphiques'!$C$8&gt;='Graphique Evolution et Pyramide'!U2,-SUM(U3:U23)+SUM(U26:U46),"-")</f>
        <v>-</v>
      </c>
      <c r="V48" s="14" t="str">
        <f>IF('Hypothèses et Graphiques'!$C$8&gt;='Graphique Evolution et Pyramide'!V2,-SUM(V3:V23)+SUM(V26:V46),"-")</f>
        <v>-</v>
      </c>
    </row>
    <row r="50" spans="2:22" ht="14.4" thickBot="1" x14ac:dyDescent="0.3">
      <c r="B50" t="s">
        <v>46</v>
      </c>
    </row>
    <row r="51" spans="2:22" x14ac:dyDescent="0.25">
      <c r="B51" s="11" t="s">
        <v>7</v>
      </c>
      <c r="E51" s="14">
        <f>IF(E3="-","-",-E3+E26)</f>
        <v>423031</v>
      </c>
      <c r="F51" s="14" t="str">
        <f>IF('Hypothèses et Graphiques'!$C$8&gt;=F$2,-F3+F26,"-")</f>
        <v>-</v>
      </c>
      <c r="G51" s="14" t="str">
        <f>IF('Hypothèses et Graphiques'!$C$8&gt;=G$2,-G3+G26,"-")</f>
        <v>-</v>
      </c>
      <c r="H51" s="14" t="str">
        <f>IF('Hypothèses et Graphiques'!$C$8&gt;=H$2,-H3+H26,"-")</f>
        <v>-</v>
      </c>
      <c r="I51" s="14" t="str">
        <f>IF('Hypothèses et Graphiques'!$C$8&gt;=I$2,-I3+I26,"-")</f>
        <v>-</v>
      </c>
      <c r="J51" s="14" t="str">
        <f>IF('Hypothèses et Graphiques'!$C$8&gt;=J$2,-J3+J26,"-")</f>
        <v>-</v>
      </c>
      <c r="K51" s="14" t="str">
        <f>IF('Hypothèses et Graphiques'!$C$8&gt;=K$2,-K3+K26,"-")</f>
        <v>-</v>
      </c>
      <c r="L51" s="14" t="str">
        <f>IF('Hypothèses et Graphiques'!$C$8&gt;=L$2,-L3+L26,"-")</f>
        <v>-</v>
      </c>
      <c r="M51" s="14" t="str">
        <f>IF('Hypothèses et Graphiques'!$C$8&gt;=M$2,-M3+M26,"-")</f>
        <v>-</v>
      </c>
      <c r="N51" s="14" t="str">
        <f>IF('Hypothèses et Graphiques'!$C$8&gt;=N$2,-N3+N26,"-")</f>
        <v>-</v>
      </c>
      <c r="O51" s="14" t="str">
        <f>IF('Hypothèses et Graphiques'!$C$8&gt;=O$2,-O3+O26,"-")</f>
        <v>-</v>
      </c>
      <c r="P51" s="14" t="str">
        <f>IF('Hypothèses et Graphiques'!$C$8&gt;=P$2,-P3+P26,"-")</f>
        <v>-</v>
      </c>
      <c r="Q51" s="14" t="str">
        <f>IF('Hypothèses et Graphiques'!$C$8&gt;=Q$2,-Q3+Q26,"-")</f>
        <v>-</v>
      </c>
      <c r="R51" s="14" t="str">
        <f>IF('Hypothèses et Graphiques'!$C$8&gt;=R$2,-R3+R26,"-")</f>
        <v>-</v>
      </c>
      <c r="S51" s="14" t="str">
        <f>IF('Hypothèses et Graphiques'!$C$8&gt;=S$2,-S3+S26,"-")</f>
        <v>-</v>
      </c>
      <c r="T51" s="14" t="str">
        <f>IF('Hypothèses et Graphiques'!$C$8&gt;=T$2,-T3+T26,"-")</f>
        <v>-</v>
      </c>
      <c r="U51" s="14" t="str">
        <f>IF('Hypothèses et Graphiques'!$C$8&gt;=U$2,-U3+U26,"-")</f>
        <v>-</v>
      </c>
      <c r="V51" s="14" t="str">
        <f>IF('Hypothèses et Graphiques'!$C$8&gt;=V$2,-V3+V26,"-")</f>
        <v>-</v>
      </c>
    </row>
    <row r="52" spans="2:22" x14ac:dyDescent="0.25">
      <c r="B52" s="12" t="s">
        <v>8</v>
      </c>
      <c r="E52" s="14">
        <f t="shared" ref="E52" si="1">IF(E4="-","-",-E4+E27)</f>
        <v>413257</v>
      </c>
      <c r="F52" s="14" t="str">
        <f>IF('Hypothèses et Graphiques'!$C$8&gt;=F$2,-F4+F27,"-")</f>
        <v>-</v>
      </c>
      <c r="G52" s="14" t="str">
        <f>IF('Hypothèses et Graphiques'!$C$8&gt;=G$2,-G4+G27,"-")</f>
        <v>-</v>
      </c>
      <c r="H52" s="14" t="str">
        <f>IF('Hypothèses et Graphiques'!$C$8&gt;=H$2,-H4+H27,"-")</f>
        <v>-</v>
      </c>
      <c r="I52" s="14" t="str">
        <f>IF('Hypothèses et Graphiques'!$C$8&gt;=I$2,-I4+I27,"-")</f>
        <v>-</v>
      </c>
      <c r="J52" s="14" t="str">
        <f>IF('Hypothèses et Graphiques'!$C$8&gt;=J$2,-J4+J27,"-")</f>
        <v>-</v>
      </c>
      <c r="K52" s="14" t="str">
        <f>IF('Hypothèses et Graphiques'!$C$8&gt;=K$2,-K4+K27,"-")</f>
        <v>-</v>
      </c>
      <c r="L52" s="14" t="str">
        <f>IF('Hypothèses et Graphiques'!$C$8&gt;=L$2,-L4+L27,"-")</f>
        <v>-</v>
      </c>
      <c r="M52" s="14" t="str">
        <f>IF('Hypothèses et Graphiques'!$C$8&gt;=M$2,-M4+M27,"-")</f>
        <v>-</v>
      </c>
      <c r="N52" s="14" t="str">
        <f>IF('Hypothèses et Graphiques'!$C$8&gt;=N$2,-N4+N27,"-")</f>
        <v>-</v>
      </c>
      <c r="O52" s="14" t="str">
        <f>IF('Hypothèses et Graphiques'!$C$8&gt;=O$2,-O4+O27,"-")</f>
        <v>-</v>
      </c>
      <c r="P52" s="14" t="str">
        <f>IF('Hypothèses et Graphiques'!$C$8&gt;=P$2,-P4+P27,"-")</f>
        <v>-</v>
      </c>
      <c r="Q52" s="14" t="str">
        <f>IF('Hypothèses et Graphiques'!$C$8&gt;=Q$2,-Q4+Q27,"-")</f>
        <v>-</v>
      </c>
      <c r="R52" s="14" t="str">
        <f>IF('Hypothèses et Graphiques'!$C$8&gt;=R$2,-R4+R27,"-")</f>
        <v>-</v>
      </c>
      <c r="S52" s="14" t="str">
        <f>IF('Hypothèses et Graphiques'!$C$8&gt;=S$2,-S4+S27,"-")</f>
        <v>-</v>
      </c>
      <c r="T52" s="14" t="str">
        <f>IF('Hypothèses et Graphiques'!$C$8&gt;=T$2,-T4+T27,"-")</f>
        <v>-</v>
      </c>
      <c r="U52" s="14" t="str">
        <f>IF('Hypothèses et Graphiques'!$C$8&gt;=U$2,-U4+U27,"-")</f>
        <v>-</v>
      </c>
      <c r="V52" s="14" t="str">
        <f>IF('Hypothèses et Graphiques'!$C$8&gt;=V$2,-V4+V27,"-")</f>
        <v>-</v>
      </c>
    </row>
    <row r="53" spans="2:22" x14ac:dyDescent="0.25">
      <c r="B53" s="13" t="s">
        <v>9</v>
      </c>
      <c r="E53" s="14">
        <f t="shared" ref="E53" si="2">IF(E5="-","-",-E5+E28)</f>
        <v>400504</v>
      </c>
      <c r="F53" s="14" t="str">
        <f>IF('Hypothèses et Graphiques'!$C$8&gt;=F$2,-F5+F28,"-")</f>
        <v>-</v>
      </c>
      <c r="G53" s="14" t="str">
        <f>IF('Hypothèses et Graphiques'!$C$8&gt;=G$2,-G5+G28,"-")</f>
        <v>-</v>
      </c>
      <c r="H53" s="14" t="str">
        <f>IF('Hypothèses et Graphiques'!$C$8&gt;=H$2,-H5+H28,"-")</f>
        <v>-</v>
      </c>
      <c r="I53" s="14" t="str">
        <f>IF('Hypothèses et Graphiques'!$C$8&gt;=I$2,-I5+I28,"-")</f>
        <v>-</v>
      </c>
      <c r="J53" s="14" t="str">
        <f>IF('Hypothèses et Graphiques'!$C$8&gt;=J$2,-J5+J28,"-")</f>
        <v>-</v>
      </c>
      <c r="K53" s="14" t="str">
        <f>IF('Hypothèses et Graphiques'!$C$8&gt;=K$2,-K5+K28,"-")</f>
        <v>-</v>
      </c>
      <c r="L53" s="14" t="str">
        <f>IF('Hypothèses et Graphiques'!$C$8&gt;=L$2,-L5+L28,"-")</f>
        <v>-</v>
      </c>
      <c r="M53" s="14" t="str">
        <f>IF('Hypothèses et Graphiques'!$C$8&gt;=M$2,-M5+M28,"-")</f>
        <v>-</v>
      </c>
      <c r="N53" s="14" t="str">
        <f>IF('Hypothèses et Graphiques'!$C$8&gt;=N$2,-N5+N28,"-")</f>
        <v>-</v>
      </c>
      <c r="O53" s="14" t="str">
        <f>IF('Hypothèses et Graphiques'!$C$8&gt;=O$2,-O5+O28,"-")</f>
        <v>-</v>
      </c>
      <c r="P53" s="14" t="str">
        <f>IF('Hypothèses et Graphiques'!$C$8&gt;=P$2,-P5+P28,"-")</f>
        <v>-</v>
      </c>
      <c r="Q53" s="14" t="str">
        <f>IF('Hypothèses et Graphiques'!$C$8&gt;=Q$2,-Q5+Q28,"-")</f>
        <v>-</v>
      </c>
      <c r="R53" s="14" t="str">
        <f>IF('Hypothèses et Graphiques'!$C$8&gt;=R$2,-R5+R28,"-")</f>
        <v>-</v>
      </c>
      <c r="S53" s="14" t="str">
        <f>IF('Hypothèses et Graphiques'!$C$8&gt;=S$2,-S5+S28,"-")</f>
        <v>-</v>
      </c>
      <c r="T53" s="14" t="str">
        <f>IF('Hypothèses et Graphiques'!$C$8&gt;=T$2,-T5+T28,"-")</f>
        <v>-</v>
      </c>
      <c r="U53" s="14" t="str">
        <f>IF('Hypothèses et Graphiques'!$C$8&gt;=U$2,-U5+U28,"-")</f>
        <v>-</v>
      </c>
      <c r="V53" s="14" t="str">
        <f>IF('Hypothèses et Graphiques'!$C$8&gt;=V$2,-V5+V28,"-")</f>
        <v>-</v>
      </c>
    </row>
    <row r="54" spans="2:22" x14ac:dyDescent="0.25">
      <c r="B54" s="5" t="s">
        <v>0</v>
      </c>
      <c r="E54" s="14">
        <f t="shared" ref="E54" si="3">IF(E6="-","-",-E6+E29)</f>
        <v>438711</v>
      </c>
      <c r="F54" s="14" t="str">
        <f>IF('Hypothèses et Graphiques'!$C$8&gt;=F$2,-F6+F29,"-")</f>
        <v>-</v>
      </c>
      <c r="G54" s="14" t="str">
        <f>IF('Hypothèses et Graphiques'!$C$8&gt;=G$2,-G6+G29,"-")</f>
        <v>-</v>
      </c>
      <c r="H54" s="14" t="str">
        <f>IF('Hypothèses et Graphiques'!$C$8&gt;=H$2,-H6+H29,"-")</f>
        <v>-</v>
      </c>
      <c r="I54" s="14" t="str">
        <f>IF('Hypothèses et Graphiques'!$C$8&gt;=I$2,-I6+I29,"-")</f>
        <v>-</v>
      </c>
      <c r="J54" s="14" t="str">
        <f>IF('Hypothèses et Graphiques'!$C$8&gt;=J$2,-J6+J29,"-")</f>
        <v>-</v>
      </c>
      <c r="K54" s="14" t="str">
        <f>IF('Hypothèses et Graphiques'!$C$8&gt;=K$2,-K6+K29,"-")</f>
        <v>-</v>
      </c>
      <c r="L54" s="14" t="str">
        <f>IF('Hypothèses et Graphiques'!$C$8&gt;=L$2,-L6+L29,"-")</f>
        <v>-</v>
      </c>
      <c r="M54" s="14" t="str">
        <f>IF('Hypothèses et Graphiques'!$C$8&gt;=M$2,-M6+M29,"-")</f>
        <v>-</v>
      </c>
      <c r="N54" s="14" t="str">
        <f>IF('Hypothèses et Graphiques'!$C$8&gt;=N$2,-N6+N29,"-")</f>
        <v>-</v>
      </c>
      <c r="O54" s="14" t="str">
        <f>IF('Hypothèses et Graphiques'!$C$8&gt;=O$2,-O6+O29,"-")</f>
        <v>-</v>
      </c>
      <c r="P54" s="14" t="str">
        <f>IF('Hypothèses et Graphiques'!$C$8&gt;=P$2,-P6+P29,"-")</f>
        <v>-</v>
      </c>
      <c r="Q54" s="14" t="str">
        <f>IF('Hypothèses et Graphiques'!$C$8&gt;=Q$2,-Q6+Q29,"-")</f>
        <v>-</v>
      </c>
      <c r="R54" s="14" t="str">
        <f>IF('Hypothèses et Graphiques'!$C$8&gt;=R$2,-R6+R29,"-")</f>
        <v>-</v>
      </c>
      <c r="S54" s="14" t="str">
        <f>IF('Hypothèses et Graphiques'!$C$8&gt;=S$2,-S6+S29,"-")</f>
        <v>-</v>
      </c>
      <c r="T54" s="14" t="str">
        <f>IF('Hypothèses et Graphiques'!$C$8&gt;=T$2,-T6+T29,"-")</f>
        <v>-</v>
      </c>
      <c r="U54" s="14" t="str">
        <f>IF('Hypothèses et Graphiques'!$C$8&gt;=U$2,-U6+U29,"-")</f>
        <v>-</v>
      </c>
      <c r="V54" s="14" t="str">
        <f>IF('Hypothèses et Graphiques'!$C$8&gt;=V$2,-V6+V29,"-")</f>
        <v>-</v>
      </c>
    </row>
    <row r="55" spans="2:22" x14ac:dyDescent="0.25">
      <c r="B55" s="5" t="s">
        <v>1</v>
      </c>
      <c r="E55" s="14">
        <f t="shared" ref="E55" si="4">IF(E7="-","-",-E7+E30)</f>
        <v>496048</v>
      </c>
      <c r="F55" s="14" t="str">
        <f>IF('Hypothèses et Graphiques'!$C$8&gt;=F$2,-F7+F30,"-")</f>
        <v>-</v>
      </c>
      <c r="G55" s="14" t="str">
        <f>IF('Hypothèses et Graphiques'!$C$8&gt;=G$2,-G7+G30,"-")</f>
        <v>-</v>
      </c>
      <c r="H55" s="14" t="str">
        <f>IF('Hypothèses et Graphiques'!$C$8&gt;=H$2,-H7+H30,"-")</f>
        <v>-</v>
      </c>
      <c r="I55" s="14" t="str">
        <f>IF('Hypothèses et Graphiques'!$C$8&gt;=I$2,-I7+I30,"-")</f>
        <v>-</v>
      </c>
      <c r="J55" s="14" t="str">
        <f>IF('Hypothèses et Graphiques'!$C$8&gt;=J$2,-J7+J30,"-")</f>
        <v>-</v>
      </c>
      <c r="K55" s="14" t="str">
        <f>IF('Hypothèses et Graphiques'!$C$8&gt;=K$2,-K7+K30,"-")</f>
        <v>-</v>
      </c>
      <c r="L55" s="14" t="str">
        <f>IF('Hypothèses et Graphiques'!$C$8&gt;=L$2,-L7+L30,"-")</f>
        <v>-</v>
      </c>
      <c r="M55" s="14" t="str">
        <f>IF('Hypothèses et Graphiques'!$C$8&gt;=M$2,-M7+M30,"-")</f>
        <v>-</v>
      </c>
      <c r="N55" s="14" t="str">
        <f>IF('Hypothèses et Graphiques'!$C$8&gt;=N$2,-N7+N30,"-")</f>
        <v>-</v>
      </c>
      <c r="O55" s="14" t="str">
        <f>IF('Hypothèses et Graphiques'!$C$8&gt;=O$2,-O7+O30,"-")</f>
        <v>-</v>
      </c>
      <c r="P55" s="14" t="str">
        <f>IF('Hypothèses et Graphiques'!$C$8&gt;=P$2,-P7+P30,"-")</f>
        <v>-</v>
      </c>
      <c r="Q55" s="14" t="str">
        <f>IF('Hypothèses et Graphiques'!$C$8&gt;=Q$2,-Q7+Q30,"-")</f>
        <v>-</v>
      </c>
      <c r="R55" s="14" t="str">
        <f>IF('Hypothèses et Graphiques'!$C$8&gt;=R$2,-R7+R30,"-")</f>
        <v>-</v>
      </c>
      <c r="S55" s="14" t="str">
        <f>IF('Hypothèses et Graphiques'!$C$8&gt;=S$2,-S7+S30,"-")</f>
        <v>-</v>
      </c>
      <c r="T55" s="14" t="str">
        <f>IF('Hypothèses et Graphiques'!$C$8&gt;=T$2,-T7+T30,"-")</f>
        <v>-</v>
      </c>
      <c r="U55" s="14" t="str">
        <f>IF('Hypothèses et Graphiques'!$C$8&gt;=U$2,-U7+U30,"-")</f>
        <v>-</v>
      </c>
      <c r="V55" s="14" t="str">
        <f>IF('Hypothèses et Graphiques'!$C$8&gt;=V$2,-V7+V30,"-")</f>
        <v>-</v>
      </c>
    </row>
    <row r="56" spans="2:22" x14ac:dyDescent="0.25">
      <c r="B56" s="5" t="s">
        <v>2</v>
      </c>
      <c r="E56" s="14">
        <f t="shared" ref="E56" si="5">IF(E8="-","-",-E8+E31)</f>
        <v>560587</v>
      </c>
      <c r="F56" s="14" t="str">
        <f>IF('Hypothèses et Graphiques'!$C$8&gt;=F$2,-F8+F31,"-")</f>
        <v>-</v>
      </c>
      <c r="G56" s="14" t="str">
        <f>IF('Hypothèses et Graphiques'!$C$8&gt;=G$2,-G8+G31,"-")</f>
        <v>-</v>
      </c>
      <c r="H56" s="14" t="str">
        <f>IF('Hypothèses et Graphiques'!$C$8&gt;=H$2,-H8+H31,"-")</f>
        <v>-</v>
      </c>
      <c r="I56" s="14" t="str">
        <f>IF('Hypothèses et Graphiques'!$C$8&gt;=I$2,-I8+I31,"-")</f>
        <v>-</v>
      </c>
      <c r="J56" s="14" t="str">
        <f>IF('Hypothèses et Graphiques'!$C$8&gt;=J$2,-J8+J31,"-")</f>
        <v>-</v>
      </c>
      <c r="K56" s="14" t="str">
        <f>IF('Hypothèses et Graphiques'!$C$8&gt;=K$2,-K8+K31,"-")</f>
        <v>-</v>
      </c>
      <c r="L56" s="14" t="str">
        <f>IF('Hypothèses et Graphiques'!$C$8&gt;=L$2,-L8+L31,"-")</f>
        <v>-</v>
      </c>
      <c r="M56" s="14" t="str">
        <f>IF('Hypothèses et Graphiques'!$C$8&gt;=M$2,-M8+M31,"-")</f>
        <v>-</v>
      </c>
      <c r="N56" s="14" t="str">
        <f>IF('Hypothèses et Graphiques'!$C$8&gt;=N$2,-N8+N31,"-")</f>
        <v>-</v>
      </c>
      <c r="O56" s="14" t="str">
        <f>IF('Hypothèses et Graphiques'!$C$8&gt;=O$2,-O8+O31,"-")</f>
        <v>-</v>
      </c>
      <c r="P56" s="14" t="str">
        <f>IF('Hypothèses et Graphiques'!$C$8&gt;=P$2,-P8+P31,"-")</f>
        <v>-</v>
      </c>
      <c r="Q56" s="14" t="str">
        <f>IF('Hypothèses et Graphiques'!$C$8&gt;=Q$2,-Q8+Q31,"-")</f>
        <v>-</v>
      </c>
      <c r="R56" s="14" t="str">
        <f>IF('Hypothèses et Graphiques'!$C$8&gt;=R$2,-R8+R31,"-")</f>
        <v>-</v>
      </c>
      <c r="S56" s="14" t="str">
        <f>IF('Hypothèses et Graphiques'!$C$8&gt;=S$2,-S8+S31,"-")</f>
        <v>-</v>
      </c>
      <c r="T56" s="14" t="str">
        <f>IF('Hypothèses et Graphiques'!$C$8&gt;=T$2,-T8+T31,"-")</f>
        <v>-</v>
      </c>
      <c r="U56" s="14" t="str">
        <f>IF('Hypothèses et Graphiques'!$C$8&gt;=U$2,-U8+U31,"-")</f>
        <v>-</v>
      </c>
      <c r="V56" s="14" t="str">
        <f>IF('Hypothèses et Graphiques'!$C$8&gt;=V$2,-V8+V31,"-")</f>
        <v>-</v>
      </c>
    </row>
    <row r="57" spans="2:22" x14ac:dyDescent="0.25">
      <c r="B57" s="5" t="s">
        <v>3</v>
      </c>
      <c r="E57" s="14">
        <f t="shared" ref="E57" si="6">IF(E9="-","-",-E9+E32)</f>
        <v>589284</v>
      </c>
      <c r="F57" s="14" t="str">
        <f>IF('Hypothèses et Graphiques'!$C$8&gt;=F$2,-F9+F32,"-")</f>
        <v>-</v>
      </c>
      <c r="G57" s="14" t="str">
        <f>IF('Hypothèses et Graphiques'!$C$8&gt;=G$2,-G9+G32,"-")</f>
        <v>-</v>
      </c>
      <c r="H57" s="14" t="str">
        <f>IF('Hypothèses et Graphiques'!$C$8&gt;=H$2,-H9+H32,"-")</f>
        <v>-</v>
      </c>
      <c r="I57" s="14" t="str">
        <f>IF('Hypothèses et Graphiques'!$C$8&gt;=I$2,-I9+I32,"-")</f>
        <v>-</v>
      </c>
      <c r="J57" s="14" t="str">
        <f>IF('Hypothèses et Graphiques'!$C$8&gt;=J$2,-J9+J32,"-")</f>
        <v>-</v>
      </c>
      <c r="K57" s="14" t="str">
        <f>IF('Hypothèses et Graphiques'!$C$8&gt;=K$2,-K9+K32,"-")</f>
        <v>-</v>
      </c>
      <c r="L57" s="14" t="str">
        <f>IF('Hypothèses et Graphiques'!$C$8&gt;=L$2,-L9+L32,"-")</f>
        <v>-</v>
      </c>
      <c r="M57" s="14" t="str">
        <f>IF('Hypothèses et Graphiques'!$C$8&gt;=M$2,-M9+M32,"-")</f>
        <v>-</v>
      </c>
      <c r="N57" s="14" t="str">
        <f>IF('Hypothèses et Graphiques'!$C$8&gt;=N$2,-N9+N32,"-")</f>
        <v>-</v>
      </c>
      <c r="O57" s="14" t="str">
        <f>IF('Hypothèses et Graphiques'!$C$8&gt;=O$2,-O9+O32,"-")</f>
        <v>-</v>
      </c>
      <c r="P57" s="14" t="str">
        <f>IF('Hypothèses et Graphiques'!$C$8&gt;=P$2,-P9+P32,"-")</f>
        <v>-</v>
      </c>
      <c r="Q57" s="14" t="str">
        <f>IF('Hypothèses et Graphiques'!$C$8&gt;=Q$2,-Q9+Q32,"-")</f>
        <v>-</v>
      </c>
      <c r="R57" s="14" t="str">
        <f>IF('Hypothèses et Graphiques'!$C$8&gt;=R$2,-R9+R32,"-")</f>
        <v>-</v>
      </c>
      <c r="S57" s="14" t="str">
        <f>IF('Hypothèses et Graphiques'!$C$8&gt;=S$2,-S9+S32,"-")</f>
        <v>-</v>
      </c>
      <c r="T57" s="14" t="str">
        <f>IF('Hypothèses et Graphiques'!$C$8&gt;=T$2,-T9+T32,"-")</f>
        <v>-</v>
      </c>
      <c r="U57" s="14" t="str">
        <f>IF('Hypothèses et Graphiques'!$C$8&gt;=U$2,-U9+U32,"-")</f>
        <v>-</v>
      </c>
      <c r="V57" s="14" t="str">
        <f>IF('Hypothèses et Graphiques'!$C$8&gt;=V$2,-V9+V32,"-")</f>
        <v>-</v>
      </c>
    </row>
    <row r="58" spans="2:22" x14ac:dyDescent="0.25">
      <c r="B58" s="5" t="s">
        <v>4</v>
      </c>
      <c r="E58" s="14">
        <f t="shared" ref="E58" si="7">IF(E10="-","-",-E10+E33)</f>
        <v>579210</v>
      </c>
      <c r="F58" s="14" t="str">
        <f>IF('Hypothèses et Graphiques'!$C$8&gt;=F$2,-F10+F33,"-")</f>
        <v>-</v>
      </c>
      <c r="G58" s="14" t="str">
        <f>IF('Hypothèses et Graphiques'!$C$8&gt;=G$2,-G10+G33,"-")</f>
        <v>-</v>
      </c>
      <c r="H58" s="14" t="str">
        <f>IF('Hypothèses et Graphiques'!$C$8&gt;=H$2,-H10+H33,"-")</f>
        <v>-</v>
      </c>
      <c r="I58" s="14" t="str">
        <f>IF('Hypothèses et Graphiques'!$C$8&gt;=I$2,-I10+I33,"-")</f>
        <v>-</v>
      </c>
      <c r="J58" s="14" t="str">
        <f>IF('Hypothèses et Graphiques'!$C$8&gt;=J$2,-J10+J33,"-")</f>
        <v>-</v>
      </c>
      <c r="K58" s="14" t="str">
        <f>IF('Hypothèses et Graphiques'!$C$8&gt;=K$2,-K10+K33,"-")</f>
        <v>-</v>
      </c>
      <c r="L58" s="14" t="str">
        <f>IF('Hypothèses et Graphiques'!$C$8&gt;=L$2,-L10+L33,"-")</f>
        <v>-</v>
      </c>
      <c r="M58" s="14" t="str">
        <f>IF('Hypothèses et Graphiques'!$C$8&gt;=M$2,-M10+M33,"-")</f>
        <v>-</v>
      </c>
      <c r="N58" s="14" t="str">
        <f>IF('Hypothèses et Graphiques'!$C$8&gt;=N$2,-N10+N33,"-")</f>
        <v>-</v>
      </c>
      <c r="O58" s="14" t="str">
        <f>IF('Hypothèses et Graphiques'!$C$8&gt;=O$2,-O10+O33,"-")</f>
        <v>-</v>
      </c>
      <c r="P58" s="14" t="str">
        <f>IF('Hypothèses et Graphiques'!$C$8&gt;=P$2,-P10+P33,"-")</f>
        <v>-</v>
      </c>
      <c r="Q58" s="14" t="str">
        <f>IF('Hypothèses et Graphiques'!$C$8&gt;=Q$2,-Q10+Q33,"-")</f>
        <v>-</v>
      </c>
      <c r="R58" s="14" t="str">
        <f>IF('Hypothèses et Graphiques'!$C$8&gt;=R$2,-R10+R33,"-")</f>
        <v>-</v>
      </c>
      <c r="S58" s="14" t="str">
        <f>IF('Hypothèses et Graphiques'!$C$8&gt;=S$2,-S10+S33,"-")</f>
        <v>-</v>
      </c>
      <c r="T58" s="14" t="str">
        <f>IF('Hypothèses et Graphiques'!$C$8&gt;=T$2,-T10+T33,"-")</f>
        <v>-</v>
      </c>
      <c r="U58" s="14" t="str">
        <f>IF('Hypothèses et Graphiques'!$C$8&gt;=U$2,-U10+U33,"-")</f>
        <v>-</v>
      </c>
      <c r="V58" s="14" t="str">
        <f>IF('Hypothèses et Graphiques'!$C$8&gt;=V$2,-V10+V33,"-")</f>
        <v>-</v>
      </c>
    </row>
    <row r="59" spans="2:22" x14ac:dyDescent="0.25">
      <c r="B59" s="5" t="s">
        <v>5</v>
      </c>
      <c r="E59" s="14">
        <f t="shared" ref="E59" si="8">IF(E11="-","-",-E11+E34)</f>
        <v>590167</v>
      </c>
      <c r="F59" s="14" t="str">
        <f>IF('Hypothèses et Graphiques'!$C$8&gt;=F$2,-F11+F34,"-")</f>
        <v>-</v>
      </c>
      <c r="G59" s="14" t="str">
        <f>IF('Hypothèses et Graphiques'!$C$8&gt;=G$2,-G11+G34,"-")</f>
        <v>-</v>
      </c>
      <c r="H59" s="14" t="str">
        <f>IF('Hypothèses et Graphiques'!$C$8&gt;=H$2,-H11+H34,"-")</f>
        <v>-</v>
      </c>
      <c r="I59" s="14" t="str">
        <f>IF('Hypothèses et Graphiques'!$C$8&gt;=I$2,-I11+I34,"-")</f>
        <v>-</v>
      </c>
      <c r="J59" s="14" t="str">
        <f>IF('Hypothèses et Graphiques'!$C$8&gt;=J$2,-J11+J34,"-")</f>
        <v>-</v>
      </c>
      <c r="K59" s="14" t="str">
        <f>IF('Hypothèses et Graphiques'!$C$8&gt;=K$2,-K11+K34,"-")</f>
        <v>-</v>
      </c>
      <c r="L59" s="14" t="str">
        <f>IF('Hypothèses et Graphiques'!$C$8&gt;=L$2,-L11+L34,"-")</f>
        <v>-</v>
      </c>
      <c r="M59" s="14" t="str">
        <f>IF('Hypothèses et Graphiques'!$C$8&gt;=M$2,-M11+M34,"-")</f>
        <v>-</v>
      </c>
      <c r="N59" s="14" t="str">
        <f>IF('Hypothèses et Graphiques'!$C$8&gt;=N$2,-N11+N34,"-")</f>
        <v>-</v>
      </c>
      <c r="O59" s="14" t="str">
        <f>IF('Hypothèses et Graphiques'!$C$8&gt;=O$2,-O11+O34,"-")</f>
        <v>-</v>
      </c>
      <c r="P59" s="14" t="str">
        <f>IF('Hypothèses et Graphiques'!$C$8&gt;=P$2,-P11+P34,"-")</f>
        <v>-</v>
      </c>
      <c r="Q59" s="14" t="str">
        <f>IF('Hypothèses et Graphiques'!$C$8&gt;=Q$2,-Q11+Q34,"-")</f>
        <v>-</v>
      </c>
      <c r="R59" s="14" t="str">
        <f>IF('Hypothèses et Graphiques'!$C$8&gt;=R$2,-R11+R34,"-")</f>
        <v>-</v>
      </c>
      <c r="S59" s="14" t="str">
        <f>IF('Hypothèses et Graphiques'!$C$8&gt;=S$2,-S11+S34,"-")</f>
        <v>-</v>
      </c>
      <c r="T59" s="14" t="str">
        <f>IF('Hypothèses et Graphiques'!$C$8&gt;=T$2,-T11+T34,"-")</f>
        <v>-</v>
      </c>
      <c r="U59" s="14" t="str">
        <f>IF('Hypothèses et Graphiques'!$C$8&gt;=U$2,-U11+U34,"-")</f>
        <v>-</v>
      </c>
      <c r="V59" s="14" t="str">
        <f>IF('Hypothèses et Graphiques'!$C$8&gt;=V$2,-V11+V34,"-")</f>
        <v>-</v>
      </c>
    </row>
    <row r="60" spans="2:22" x14ac:dyDescent="0.25">
      <c r="B60" s="5" t="s">
        <v>6</v>
      </c>
      <c r="E60" s="14">
        <f t="shared" ref="E60" si="9">IF(E12="-","-",-E12+E35)</f>
        <v>654245</v>
      </c>
      <c r="F60" s="14" t="str">
        <f>IF('Hypothèses et Graphiques'!$C$8&gt;=F$2,-F12+F35,"-")</f>
        <v>-</v>
      </c>
      <c r="G60" s="14" t="str">
        <f>IF('Hypothèses et Graphiques'!$C$8&gt;=G$2,-G12+G35,"-")</f>
        <v>-</v>
      </c>
      <c r="H60" s="14" t="str">
        <f>IF('Hypothèses et Graphiques'!$C$8&gt;=H$2,-H12+H35,"-")</f>
        <v>-</v>
      </c>
      <c r="I60" s="14" t="str">
        <f>IF('Hypothèses et Graphiques'!$C$8&gt;=I$2,-I12+I35,"-")</f>
        <v>-</v>
      </c>
      <c r="J60" s="14" t="str">
        <f>IF('Hypothèses et Graphiques'!$C$8&gt;=J$2,-J12+J35,"-")</f>
        <v>-</v>
      </c>
      <c r="K60" s="14" t="str">
        <f>IF('Hypothèses et Graphiques'!$C$8&gt;=K$2,-K12+K35,"-")</f>
        <v>-</v>
      </c>
      <c r="L60" s="14" t="str">
        <f>IF('Hypothèses et Graphiques'!$C$8&gt;=L$2,-L12+L35,"-")</f>
        <v>-</v>
      </c>
      <c r="M60" s="14" t="str">
        <f>IF('Hypothèses et Graphiques'!$C$8&gt;=M$2,-M12+M35,"-")</f>
        <v>-</v>
      </c>
      <c r="N60" s="14" t="str">
        <f>IF('Hypothèses et Graphiques'!$C$8&gt;=N$2,-N12+N35,"-")</f>
        <v>-</v>
      </c>
      <c r="O60" s="14" t="str">
        <f>IF('Hypothèses et Graphiques'!$C$8&gt;=O$2,-O12+O35,"-")</f>
        <v>-</v>
      </c>
      <c r="P60" s="14" t="str">
        <f>IF('Hypothèses et Graphiques'!$C$8&gt;=P$2,-P12+P35,"-")</f>
        <v>-</v>
      </c>
      <c r="Q60" s="14" t="str">
        <f>IF('Hypothèses et Graphiques'!$C$8&gt;=Q$2,-Q12+Q35,"-")</f>
        <v>-</v>
      </c>
      <c r="R60" s="14" t="str">
        <f>IF('Hypothèses et Graphiques'!$C$8&gt;=R$2,-R12+R35,"-")</f>
        <v>-</v>
      </c>
      <c r="S60" s="14" t="str">
        <f>IF('Hypothèses et Graphiques'!$C$8&gt;=S$2,-S12+S35,"-")</f>
        <v>-</v>
      </c>
      <c r="T60" s="14" t="str">
        <f>IF('Hypothèses et Graphiques'!$C$8&gt;=T$2,-T12+T35,"-")</f>
        <v>-</v>
      </c>
      <c r="U60" s="14" t="str">
        <f>IF('Hypothèses et Graphiques'!$C$8&gt;=U$2,-U12+U35,"-")</f>
        <v>-</v>
      </c>
      <c r="V60" s="14" t="str">
        <f>IF('Hypothèses et Graphiques'!$C$8&gt;=V$2,-V12+V35,"-")</f>
        <v>-</v>
      </c>
    </row>
    <row r="61" spans="2:22" x14ac:dyDescent="0.25">
      <c r="B61" s="5" t="s">
        <v>10</v>
      </c>
      <c r="E61" s="14">
        <f t="shared" ref="E61" si="10">IF(E13="-","-",-E13+E36)</f>
        <v>657774</v>
      </c>
      <c r="F61" s="14" t="str">
        <f>IF('Hypothèses et Graphiques'!$C$8&gt;=F$2,-F13+F36,"-")</f>
        <v>-</v>
      </c>
      <c r="G61" s="14" t="str">
        <f>IF('Hypothèses et Graphiques'!$C$8&gt;=G$2,-G13+G36,"-")</f>
        <v>-</v>
      </c>
      <c r="H61" s="14" t="str">
        <f>IF('Hypothèses et Graphiques'!$C$8&gt;=H$2,-H13+H36,"-")</f>
        <v>-</v>
      </c>
      <c r="I61" s="14" t="str">
        <f>IF('Hypothèses et Graphiques'!$C$8&gt;=I$2,-I13+I36,"-")</f>
        <v>-</v>
      </c>
      <c r="J61" s="14" t="str">
        <f>IF('Hypothèses et Graphiques'!$C$8&gt;=J$2,-J13+J36,"-")</f>
        <v>-</v>
      </c>
      <c r="K61" s="14" t="str">
        <f>IF('Hypothèses et Graphiques'!$C$8&gt;=K$2,-K13+K36,"-")</f>
        <v>-</v>
      </c>
      <c r="L61" s="14" t="str">
        <f>IF('Hypothèses et Graphiques'!$C$8&gt;=L$2,-L13+L36,"-")</f>
        <v>-</v>
      </c>
      <c r="M61" s="14" t="str">
        <f>IF('Hypothèses et Graphiques'!$C$8&gt;=M$2,-M13+M36,"-")</f>
        <v>-</v>
      </c>
      <c r="N61" s="14" t="str">
        <f>IF('Hypothèses et Graphiques'!$C$8&gt;=N$2,-N13+N36,"-")</f>
        <v>-</v>
      </c>
      <c r="O61" s="14" t="str">
        <f>IF('Hypothèses et Graphiques'!$C$8&gt;=O$2,-O13+O36,"-")</f>
        <v>-</v>
      </c>
      <c r="P61" s="14" t="str">
        <f>IF('Hypothèses et Graphiques'!$C$8&gt;=P$2,-P13+P36,"-")</f>
        <v>-</v>
      </c>
      <c r="Q61" s="14" t="str">
        <f>IF('Hypothèses et Graphiques'!$C$8&gt;=Q$2,-Q13+Q36,"-")</f>
        <v>-</v>
      </c>
      <c r="R61" s="14" t="str">
        <f>IF('Hypothèses et Graphiques'!$C$8&gt;=R$2,-R13+R36,"-")</f>
        <v>-</v>
      </c>
      <c r="S61" s="14" t="str">
        <f>IF('Hypothèses et Graphiques'!$C$8&gt;=S$2,-S13+S36,"-")</f>
        <v>-</v>
      </c>
      <c r="T61" s="14" t="str">
        <f>IF('Hypothèses et Graphiques'!$C$8&gt;=T$2,-T13+T36,"-")</f>
        <v>-</v>
      </c>
      <c r="U61" s="14" t="str">
        <f>IF('Hypothèses et Graphiques'!$C$8&gt;=U$2,-U13+U36,"-")</f>
        <v>-</v>
      </c>
      <c r="V61" s="14" t="str">
        <f>IF('Hypothèses et Graphiques'!$C$8&gt;=V$2,-V13+V36,"-")</f>
        <v>-</v>
      </c>
    </row>
    <row r="62" spans="2:22" x14ac:dyDescent="0.25">
      <c r="B62" s="5" t="s">
        <v>11</v>
      </c>
      <c r="E62" s="14">
        <f t="shared" ref="E62" si="11">IF(E14="-","-",-E14+E37)</f>
        <v>560277</v>
      </c>
      <c r="F62" s="14" t="str">
        <f>IF('Hypothèses et Graphiques'!$C$8&gt;=F$2,-F14+F37,"-")</f>
        <v>-</v>
      </c>
      <c r="G62" s="14" t="str">
        <f>IF('Hypothèses et Graphiques'!$C$8&gt;=G$2,-G14+G37,"-")</f>
        <v>-</v>
      </c>
      <c r="H62" s="14" t="str">
        <f>IF('Hypothèses et Graphiques'!$C$8&gt;=H$2,-H14+H37,"-")</f>
        <v>-</v>
      </c>
      <c r="I62" s="14" t="str">
        <f>IF('Hypothèses et Graphiques'!$C$8&gt;=I$2,-I14+I37,"-")</f>
        <v>-</v>
      </c>
      <c r="J62" s="14" t="str">
        <f>IF('Hypothèses et Graphiques'!$C$8&gt;=J$2,-J14+J37,"-")</f>
        <v>-</v>
      </c>
      <c r="K62" s="14" t="str">
        <f>IF('Hypothèses et Graphiques'!$C$8&gt;=K$2,-K14+K37,"-")</f>
        <v>-</v>
      </c>
      <c r="L62" s="14" t="str">
        <f>IF('Hypothèses et Graphiques'!$C$8&gt;=L$2,-L14+L37,"-")</f>
        <v>-</v>
      </c>
      <c r="M62" s="14" t="str">
        <f>IF('Hypothèses et Graphiques'!$C$8&gt;=M$2,-M14+M37,"-")</f>
        <v>-</v>
      </c>
      <c r="N62" s="14" t="str">
        <f>IF('Hypothèses et Graphiques'!$C$8&gt;=N$2,-N14+N37,"-")</f>
        <v>-</v>
      </c>
      <c r="O62" s="14" t="str">
        <f>IF('Hypothèses et Graphiques'!$C$8&gt;=O$2,-O14+O37,"-")</f>
        <v>-</v>
      </c>
      <c r="P62" s="14" t="str">
        <f>IF('Hypothèses et Graphiques'!$C$8&gt;=P$2,-P14+P37,"-")</f>
        <v>-</v>
      </c>
      <c r="Q62" s="14" t="str">
        <f>IF('Hypothèses et Graphiques'!$C$8&gt;=Q$2,-Q14+Q37,"-")</f>
        <v>-</v>
      </c>
      <c r="R62" s="14" t="str">
        <f>IF('Hypothèses et Graphiques'!$C$8&gt;=R$2,-R14+R37,"-")</f>
        <v>-</v>
      </c>
      <c r="S62" s="14" t="str">
        <f>IF('Hypothèses et Graphiques'!$C$8&gt;=S$2,-S14+S37,"-")</f>
        <v>-</v>
      </c>
      <c r="T62" s="14" t="str">
        <f>IF('Hypothèses et Graphiques'!$C$8&gt;=T$2,-T14+T37,"-")</f>
        <v>-</v>
      </c>
      <c r="U62" s="14" t="str">
        <f>IF('Hypothèses et Graphiques'!$C$8&gt;=U$2,-U14+U37,"-")</f>
        <v>-</v>
      </c>
      <c r="V62" s="14" t="str">
        <f>IF('Hypothèses et Graphiques'!$C$8&gt;=V$2,-V14+V37,"-")</f>
        <v>-</v>
      </c>
    </row>
    <row r="63" spans="2:22" x14ac:dyDescent="0.25">
      <c r="B63" s="5" t="s">
        <v>12</v>
      </c>
      <c r="E63" s="14">
        <f t="shared" ref="E63" si="12">IF(E15="-","-",-E15+E38)</f>
        <v>468979</v>
      </c>
      <c r="F63" s="14" t="str">
        <f>IF('Hypothèses et Graphiques'!$C$8&gt;=F$2,-F15+F38,"-")</f>
        <v>-</v>
      </c>
      <c r="G63" s="14" t="str">
        <f>IF('Hypothèses et Graphiques'!$C$8&gt;=G$2,-G15+G38,"-")</f>
        <v>-</v>
      </c>
      <c r="H63" s="14" t="str">
        <f>IF('Hypothèses et Graphiques'!$C$8&gt;=H$2,-H15+H38,"-")</f>
        <v>-</v>
      </c>
      <c r="I63" s="14" t="str">
        <f>IF('Hypothèses et Graphiques'!$C$8&gt;=I$2,-I15+I38,"-")</f>
        <v>-</v>
      </c>
      <c r="J63" s="14" t="str">
        <f>IF('Hypothèses et Graphiques'!$C$8&gt;=J$2,-J15+J38,"-")</f>
        <v>-</v>
      </c>
      <c r="K63" s="14" t="str">
        <f>IF('Hypothèses et Graphiques'!$C$8&gt;=K$2,-K15+K38,"-")</f>
        <v>-</v>
      </c>
      <c r="L63" s="14" t="str">
        <f>IF('Hypothèses et Graphiques'!$C$8&gt;=L$2,-L15+L38,"-")</f>
        <v>-</v>
      </c>
      <c r="M63" s="14" t="str">
        <f>IF('Hypothèses et Graphiques'!$C$8&gt;=M$2,-M15+M38,"-")</f>
        <v>-</v>
      </c>
      <c r="N63" s="14" t="str">
        <f>IF('Hypothèses et Graphiques'!$C$8&gt;=N$2,-N15+N38,"-")</f>
        <v>-</v>
      </c>
      <c r="O63" s="14" t="str">
        <f>IF('Hypothèses et Graphiques'!$C$8&gt;=O$2,-O15+O38,"-")</f>
        <v>-</v>
      </c>
      <c r="P63" s="14" t="str">
        <f>IF('Hypothèses et Graphiques'!$C$8&gt;=P$2,-P15+P38,"-")</f>
        <v>-</v>
      </c>
      <c r="Q63" s="14" t="str">
        <f>IF('Hypothèses et Graphiques'!$C$8&gt;=Q$2,-Q15+Q38,"-")</f>
        <v>-</v>
      </c>
      <c r="R63" s="14" t="str">
        <f>IF('Hypothèses et Graphiques'!$C$8&gt;=R$2,-R15+R38,"-")</f>
        <v>-</v>
      </c>
      <c r="S63" s="14" t="str">
        <f>IF('Hypothèses et Graphiques'!$C$8&gt;=S$2,-S15+S38,"-")</f>
        <v>-</v>
      </c>
      <c r="T63" s="14" t="str">
        <f>IF('Hypothèses et Graphiques'!$C$8&gt;=T$2,-T15+T38,"-")</f>
        <v>-</v>
      </c>
      <c r="U63" s="14" t="str">
        <f>IF('Hypothèses et Graphiques'!$C$8&gt;=U$2,-U15+U38,"-")</f>
        <v>-</v>
      </c>
      <c r="V63" s="14" t="str">
        <f>IF('Hypothèses et Graphiques'!$C$8&gt;=V$2,-V15+V38,"-")</f>
        <v>-</v>
      </c>
    </row>
    <row r="64" spans="2:22" x14ac:dyDescent="0.25">
      <c r="B64" s="5" t="s">
        <v>13</v>
      </c>
      <c r="E64" s="14">
        <f t="shared" ref="E64" si="13">IF(E16="-","-",-E16+E39)</f>
        <v>433593</v>
      </c>
      <c r="F64" s="14" t="str">
        <f>IF('Hypothèses et Graphiques'!$C$8&gt;=F$2,-F16+F39,"-")</f>
        <v>-</v>
      </c>
      <c r="G64" s="14" t="str">
        <f>IF('Hypothèses et Graphiques'!$C$8&gt;=G$2,-G16+G39,"-")</f>
        <v>-</v>
      </c>
      <c r="H64" s="14" t="str">
        <f>IF('Hypothèses et Graphiques'!$C$8&gt;=H$2,-H16+H39,"-")</f>
        <v>-</v>
      </c>
      <c r="I64" s="14" t="str">
        <f>IF('Hypothèses et Graphiques'!$C$8&gt;=I$2,-I16+I39,"-")</f>
        <v>-</v>
      </c>
      <c r="J64" s="14" t="str">
        <f>IF('Hypothèses et Graphiques'!$C$8&gt;=J$2,-J16+J39,"-")</f>
        <v>-</v>
      </c>
      <c r="K64" s="14" t="str">
        <f>IF('Hypothèses et Graphiques'!$C$8&gt;=K$2,-K16+K39,"-")</f>
        <v>-</v>
      </c>
      <c r="L64" s="14" t="str">
        <f>IF('Hypothèses et Graphiques'!$C$8&gt;=L$2,-L16+L39,"-")</f>
        <v>-</v>
      </c>
      <c r="M64" s="14" t="str">
        <f>IF('Hypothèses et Graphiques'!$C$8&gt;=M$2,-M16+M39,"-")</f>
        <v>-</v>
      </c>
      <c r="N64" s="14" t="str">
        <f>IF('Hypothèses et Graphiques'!$C$8&gt;=N$2,-N16+N39,"-")</f>
        <v>-</v>
      </c>
      <c r="O64" s="14" t="str">
        <f>IF('Hypothèses et Graphiques'!$C$8&gt;=O$2,-O16+O39,"-")</f>
        <v>-</v>
      </c>
      <c r="P64" s="14" t="str">
        <f>IF('Hypothèses et Graphiques'!$C$8&gt;=P$2,-P16+P39,"-")</f>
        <v>-</v>
      </c>
      <c r="Q64" s="14" t="str">
        <f>IF('Hypothèses et Graphiques'!$C$8&gt;=Q$2,-Q16+Q39,"-")</f>
        <v>-</v>
      </c>
      <c r="R64" s="14" t="str">
        <f>IF('Hypothèses et Graphiques'!$C$8&gt;=R$2,-R16+R39,"-")</f>
        <v>-</v>
      </c>
      <c r="S64" s="14" t="str">
        <f>IF('Hypothèses et Graphiques'!$C$8&gt;=S$2,-S16+S39,"-")</f>
        <v>-</v>
      </c>
      <c r="T64" s="14" t="str">
        <f>IF('Hypothèses et Graphiques'!$C$8&gt;=T$2,-T16+T39,"-")</f>
        <v>-</v>
      </c>
      <c r="U64" s="14" t="str">
        <f>IF('Hypothèses et Graphiques'!$C$8&gt;=U$2,-U16+U39,"-")</f>
        <v>-</v>
      </c>
      <c r="V64" s="14" t="str">
        <f>IF('Hypothèses et Graphiques'!$C$8&gt;=V$2,-V16+V39,"-")</f>
        <v>-</v>
      </c>
    </row>
    <row r="65" spans="2:22" x14ac:dyDescent="0.25">
      <c r="B65" s="5" t="s">
        <v>14</v>
      </c>
      <c r="E65" s="14">
        <f t="shared" ref="E65" si="14">IF(E17="-","-",-E17+E40)</f>
        <v>371249</v>
      </c>
      <c r="F65" s="14" t="str">
        <f>IF('Hypothèses et Graphiques'!$C$8&gt;=F$2,-F17+F40,"-")</f>
        <v>-</v>
      </c>
      <c r="G65" s="14" t="str">
        <f>IF('Hypothèses et Graphiques'!$C$8&gt;=G$2,-G17+G40,"-")</f>
        <v>-</v>
      </c>
      <c r="H65" s="14" t="str">
        <f>IF('Hypothèses et Graphiques'!$C$8&gt;=H$2,-H17+H40,"-")</f>
        <v>-</v>
      </c>
      <c r="I65" s="14" t="str">
        <f>IF('Hypothèses et Graphiques'!$C$8&gt;=I$2,-I17+I40,"-")</f>
        <v>-</v>
      </c>
      <c r="J65" s="14" t="str">
        <f>IF('Hypothèses et Graphiques'!$C$8&gt;=J$2,-J17+J40,"-")</f>
        <v>-</v>
      </c>
      <c r="K65" s="14" t="str">
        <f>IF('Hypothèses et Graphiques'!$C$8&gt;=K$2,-K17+K40,"-")</f>
        <v>-</v>
      </c>
      <c r="L65" s="14" t="str">
        <f>IF('Hypothèses et Graphiques'!$C$8&gt;=L$2,-L17+L40,"-")</f>
        <v>-</v>
      </c>
      <c r="M65" s="14" t="str">
        <f>IF('Hypothèses et Graphiques'!$C$8&gt;=M$2,-M17+M40,"-")</f>
        <v>-</v>
      </c>
      <c r="N65" s="14" t="str">
        <f>IF('Hypothèses et Graphiques'!$C$8&gt;=N$2,-N17+N40,"-")</f>
        <v>-</v>
      </c>
      <c r="O65" s="14" t="str">
        <f>IF('Hypothèses et Graphiques'!$C$8&gt;=O$2,-O17+O40,"-")</f>
        <v>-</v>
      </c>
      <c r="P65" s="14" t="str">
        <f>IF('Hypothèses et Graphiques'!$C$8&gt;=P$2,-P17+P40,"-")</f>
        <v>-</v>
      </c>
      <c r="Q65" s="14" t="str">
        <f>IF('Hypothèses et Graphiques'!$C$8&gt;=Q$2,-Q17+Q40,"-")</f>
        <v>-</v>
      </c>
      <c r="R65" s="14" t="str">
        <f>IF('Hypothèses et Graphiques'!$C$8&gt;=R$2,-R17+R40,"-")</f>
        <v>-</v>
      </c>
      <c r="S65" s="14" t="str">
        <f>IF('Hypothèses et Graphiques'!$C$8&gt;=S$2,-S17+S40,"-")</f>
        <v>-</v>
      </c>
      <c r="T65" s="14" t="str">
        <f>IF('Hypothèses et Graphiques'!$C$8&gt;=T$2,-T17+T40,"-")</f>
        <v>-</v>
      </c>
      <c r="U65" s="14" t="str">
        <f>IF('Hypothèses et Graphiques'!$C$8&gt;=U$2,-U17+U40,"-")</f>
        <v>-</v>
      </c>
      <c r="V65" s="14" t="str">
        <f>IF('Hypothèses et Graphiques'!$C$8&gt;=V$2,-V17+V40,"-")</f>
        <v>-</v>
      </c>
    </row>
    <row r="66" spans="2:22" x14ac:dyDescent="0.25">
      <c r="B66" s="5" t="s">
        <v>15</v>
      </c>
      <c r="E66" s="14">
        <f t="shared" ref="E66" si="15">IF(E18="-","-",-E18+E41)</f>
        <v>273343</v>
      </c>
      <c r="F66" s="14" t="str">
        <f>IF('Hypothèses et Graphiques'!$C$8&gt;=F$2,-F18+F41,"-")</f>
        <v>-</v>
      </c>
      <c r="G66" s="14" t="str">
        <f>IF('Hypothèses et Graphiques'!$C$8&gt;=G$2,-G18+G41,"-")</f>
        <v>-</v>
      </c>
      <c r="H66" s="14" t="str">
        <f>IF('Hypothèses et Graphiques'!$C$8&gt;=H$2,-H18+H41,"-")</f>
        <v>-</v>
      </c>
      <c r="I66" s="14" t="str">
        <f>IF('Hypothèses et Graphiques'!$C$8&gt;=I$2,-I18+I41,"-")</f>
        <v>-</v>
      </c>
      <c r="J66" s="14" t="str">
        <f>IF('Hypothèses et Graphiques'!$C$8&gt;=J$2,-J18+J41,"-")</f>
        <v>-</v>
      </c>
      <c r="K66" s="14" t="str">
        <f>IF('Hypothèses et Graphiques'!$C$8&gt;=K$2,-K18+K41,"-")</f>
        <v>-</v>
      </c>
      <c r="L66" s="14" t="str">
        <f>IF('Hypothèses et Graphiques'!$C$8&gt;=L$2,-L18+L41,"-")</f>
        <v>-</v>
      </c>
      <c r="M66" s="14" t="str">
        <f>IF('Hypothèses et Graphiques'!$C$8&gt;=M$2,-M18+M41,"-")</f>
        <v>-</v>
      </c>
      <c r="N66" s="14" t="str">
        <f>IF('Hypothèses et Graphiques'!$C$8&gt;=N$2,-N18+N41,"-")</f>
        <v>-</v>
      </c>
      <c r="O66" s="14" t="str">
        <f>IF('Hypothèses et Graphiques'!$C$8&gt;=O$2,-O18+O41,"-")</f>
        <v>-</v>
      </c>
      <c r="P66" s="14" t="str">
        <f>IF('Hypothèses et Graphiques'!$C$8&gt;=P$2,-P18+P41,"-")</f>
        <v>-</v>
      </c>
      <c r="Q66" s="14" t="str">
        <f>IF('Hypothèses et Graphiques'!$C$8&gt;=Q$2,-Q18+Q41,"-")</f>
        <v>-</v>
      </c>
      <c r="R66" s="14" t="str">
        <f>IF('Hypothèses et Graphiques'!$C$8&gt;=R$2,-R18+R41,"-")</f>
        <v>-</v>
      </c>
      <c r="S66" s="14" t="str">
        <f>IF('Hypothèses et Graphiques'!$C$8&gt;=S$2,-S18+S41,"-")</f>
        <v>-</v>
      </c>
      <c r="T66" s="14" t="str">
        <f>IF('Hypothèses et Graphiques'!$C$8&gt;=T$2,-T18+T41,"-")</f>
        <v>-</v>
      </c>
      <c r="U66" s="14" t="str">
        <f>IF('Hypothèses et Graphiques'!$C$8&gt;=U$2,-U18+U41,"-")</f>
        <v>-</v>
      </c>
      <c r="V66" s="14" t="str">
        <f>IF('Hypothèses et Graphiques'!$C$8&gt;=V$2,-V18+V41,"-")</f>
        <v>-</v>
      </c>
    </row>
    <row r="67" spans="2:22" x14ac:dyDescent="0.25">
      <c r="B67" s="5" t="s">
        <v>16</v>
      </c>
      <c r="E67" s="14">
        <f t="shared" ref="E67" si="16">IF(E19="-","-",-E19+E42)</f>
        <v>211503</v>
      </c>
      <c r="F67" s="14" t="str">
        <f>IF('Hypothèses et Graphiques'!$C$8&gt;=F$2,-F19+F42,"-")</f>
        <v>-</v>
      </c>
      <c r="G67" s="14" t="str">
        <f>IF('Hypothèses et Graphiques'!$C$8&gt;=G$2,-G19+G42,"-")</f>
        <v>-</v>
      </c>
      <c r="H67" s="14" t="str">
        <f>IF('Hypothèses et Graphiques'!$C$8&gt;=H$2,-H19+H42,"-")</f>
        <v>-</v>
      </c>
      <c r="I67" s="14" t="str">
        <f>IF('Hypothèses et Graphiques'!$C$8&gt;=I$2,-I19+I42,"-")</f>
        <v>-</v>
      </c>
      <c r="J67" s="14" t="str">
        <f>IF('Hypothèses et Graphiques'!$C$8&gt;=J$2,-J19+J42,"-")</f>
        <v>-</v>
      </c>
      <c r="K67" s="14" t="str">
        <f>IF('Hypothèses et Graphiques'!$C$8&gt;=K$2,-K19+K42,"-")</f>
        <v>-</v>
      </c>
      <c r="L67" s="14" t="str">
        <f>IF('Hypothèses et Graphiques'!$C$8&gt;=L$2,-L19+L42,"-")</f>
        <v>-</v>
      </c>
      <c r="M67" s="14" t="str">
        <f>IF('Hypothèses et Graphiques'!$C$8&gt;=M$2,-M19+M42,"-")</f>
        <v>-</v>
      </c>
      <c r="N67" s="14" t="str">
        <f>IF('Hypothèses et Graphiques'!$C$8&gt;=N$2,-N19+N42,"-")</f>
        <v>-</v>
      </c>
      <c r="O67" s="14" t="str">
        <f>IF('Hypothèses et Graphiques'!$C$8&gt;=O$2,-O19+O42,"-")</f>
        <v>-</v>
      </c>
      <c r="P67" s="14" t="str">
        <f>IF('Hypothèses et Graphiques'!$C$8&gt;=P$2,-P19+P42,"-")</f>
        <v>-</v>
      </c>
      <c r="Q67" s="14" t="str">
        <f>IF('Hypothèses et Graphiques'!$C$8&gt;=Q$2,-Q19+Q42,"-")</f>
        <v>-</v>
      </c>
      <c r="R67" s="14" t="str">
        <f>IF('Hypothèses et Graphiques'!$C$8&gt;=R$2,-R19+R42,"-")</f>
        <v>-</v>
      </c>
      <c r="S67" s="14" t="str">
        <f>IF('Hypothèses et Graphiques'!$C$8&gt;=S$2,-S19+S42,"-")</f>
        <v>-</v>
      </c>
      <c r="T67" s="14" t="str">
        <f>IF('Hypothèses et Graphiques'!$C$8&gt;=T$2,-T19+T42,"-")</f>
        <v>-</v>
      </c>
      <c r="U67" s="14" t="str">
        <f>IF('Hypothèses et Graphiques'!$C$8&gt;=U$2,-U19+U42,"-")</f>
        <v>-</v>
      </c>
      <c r="V67" s="14" t="str">
        <f>IF('Hypothèses et Graphiques'!$C$8&gt;=V$2,-V19+V42,"-")</f>
        <v>-</v>
      </c>
    </row>
    <row r="68" spans="2:22" x14ac:dyDescent="0.25">
      <c r="B68" s="5" t="s">
        <v>17</v>
      </c>
      <c r="E68" s="14">
        <f t="shared" ref="E68" si="17">IF(E20="-","-",-E20+E43)</f>
        <v>133393</v>
      </c>
      <c r="F68" s="14" t="str">
        <f>IF('Hypothèses et Graphiques'!$C$8&gt;=F$2,-F20+F43,"-")</f>
        <v>-</v>
      </c>
      <c r="G68" s="14" t="str">
        <f>IF('Hypothèses et Graphiques'!$C$8&gt;=G$2,-G20+G43,"-")</f>
        <v>-</v>
      </c>
      <c r="H68" s="14" t="str">
        <f>IF('Hypothèses et Graphiques'!$C$8&gt;=H$2,-H20+H43,"-")</f>
        <v>-</v>
      </c>
      <c r="I68" s="14" t="str">
        <f>IF('Hypothèses et Graphiques'!$C$8&gt;=I$2,-I20+I43,"-")</f>
        <v>-</v>
      </c>
      <c r="J68" s="14" t="str">
        <f>IF('Hypothèses et Graphiques'!$C$8&gt;=J$2,-J20+J43,"-")</f>
        <v>-</v>
      </c>
      <c r="K68" s="14" t="str">
        <f>IF('Hypothèses et Graphiques'!$C$8&gt;=K$2,-K20+K43,"-")</f>
        <v>-</v>
      </c>
      <c r="L68" s="14" t="str">
        <f>IF('Hypothèses et Graphiques'!$C$8&gt;=L$2,-L20+L43,"-")</f>
        <v>-</v>
      </c>
      <c r="M68" s="14" t="str">
        <f>IF('Hypothèses et Graphiques'!$C$8&gt;=M$2,-M20+M43,"-")</f>
        <v>-</v>
      </c>
      <c r="N68" s="14" t="str">
        <f>IF('Hypothèses et Graphiques'!$C$8&gt;=N$2,-N20+N43,"-")</f>
        <v>-</v>
      </c>
      <c r="O68" s="14" t="str">
        <f>IF('Hypothèses et Graphiques'!$C$8&gt;=O$2,-O20+O43,"-")</f>
        <v>-</v>
      </c>
      <c r="P68" s="14" t="str">
        <f>IF('Hypothèses et Graphiques'!$C$8&gt;=P$2,-P20+P43,"-")</f>
        <v>-</v>
      </c>
      <c r="Q68" s="14" t="str">
        <f>IF('Hypothèses et Graphiques'!$C$8&gt;=Q$2,-Q20+Q43,"-")</f>
        <v>-</v>
      </c>
      <c r="R68" s="14" t="str">
        <f>IF('Hypothèses et Graphiques'!$C$8&gt;=R$2,-R20+R43,"-")</f>
        <v>-</v>
      </c>
      <c r="S68" s="14" t="str">
        <f>IF('Hypothèses et Graphiques'!$C$8&gt;=S$2,-S20+S43,"-")</f>
        <v>-</v>
      </c>
      <c r="T68" s="14" t="str">
        <f>IF('Hypothèses et Graphiques'!$C$8&gt;=T$2,-T20+T43,"-")</f>
        <v>-</v>
      </c>
      <c r="U68" s="14" t="str">
        <f>IF('Hypothèses et Graphiques'!$C$8&gt;=U$2,-U20+U43,"-")</f>
        <v>-</v>
      </c>
      <c r="V68" s="14" t="str">
        <f>IF('Hypothèses et Graphiques'!$C$8&gt;=V$2,-V20+V43,"-")</f>
        <v>-</v>
      </c>
    </row>
    <row r="69" spans="2:22" x14ac:dyDescent="0.25">
      <c r="B69" s="5" t="s">
        <v>18</v>
      </c>
      <c r="E69" s="14">
        <f t="shared" ref="E69" si="18">IF(E21="-","-",-E21+E44)</f>
        <v>58145</v>
      </c>
      <c r="F69" s="14" t="str">
        <f>IF('Hypothèses et Graphiques'!$C$8&gt;=F$2,-F21+F44,"-")</f>
        <v>-</v>
      </c>
      <c r="G69" s="14" t="str">
        <f>IF('Hypothèses et Graphiques'!$C$8&gt;=G$2,-G21+G44,"-")</f>
        <v>-</v>
      </c>
      <c r="H69" s="14" t="str">
        <f>IF('Hypothèses et Graphiques'!$C$8&gt;=H$2,-H21+H44,"-")</f>
        <v>-</v>
      </c>
      <c r="I69" s="14" t="str">
        <f>IF('Hypothèses et Graphiques'!$C$8&gt;=I$2,-I21+I44,"-")</f>
        <v>-</v>
      </c>
      <c r="J69" s="14" t="str">
        <f>IF('Hypothèses et Graphiques'!$C$8&gt;=J$2,-J21+J44,"-")</f>
        <v>-</v>
      </c>
      <c r="K69" s="14" t="str">
        <f>IF('Hypothèses et Graphiques'!$C$8&gt;=K$2,-K21+K44,"-")</f>
        <v>-</v>
      </c>
      <c r="L69" s="14" t="str">
        <f>IF('Hypothèses et Graphiques'!$C$8&gt;=L$2,-L21+L44,"-")</f>
        <v>-</v>
      </c>
      <c r="M69" s="14" t="str">
        <f>IF('Hypothèses et Graphiques'!$C$8&gt;=M$2,-M21+M44,"-")</f>
        <v>-</v>
      </c>
      <c r="N69" s="14" t="str">
        <f>IF('Hypothèses et Graphiques'!$C$8&gt;=N$2,-N21+N44,"-")</f>
        <v>-</v>
      </c>
      <c r="O69" s="14" t="str">
        <f>IF('Hypothèses et Graphiques'!$C$8&gt;=O$2,-O21+O44,"-")</f>
        <v>-</v>
      </c>
      <c r="P69" s="14" t="str">
        <f>IF('Hypothèses et Graphiques'!$C$8&gt;=P$2,-P21+P44,"-")</f>
        <v>-</v>
      </c>
      <c r="Q69" s="14" t="str">
        <f>IF('Hypothèses et Graphiques'!$C$8&gt;=Q$2,-Q21+Q44,"-")</f>
        <v>-</v>
      </c>
      <c r="R69" s="14" t="str">
        <f>IF('Hypothèses et Graphiques'!$C$8&gt;=R$2,-R21+R44,"-")</f>
        <v>-</v>
      </c>
      <c r="S69" s="14" t="str">
        <f>IF('Hypothèses et Graphiques'!$C$8&gt;=S$2,-S21+S44,"-")</f>
        <v>-</v>
      </c>
      <c r="T69" s="14" t="str">
        <f>IF('Hypothèses et Graphiques'!$C$8&gt;=T$2,-T21+T44,"-")</f>
        <v>-</v>
      </c>
      <c r="U69" s="14" t="str">
        <f>IF('Hypothèses et Graphiques'!$C$8&gt;=U$2,-U21+U44,"-")</f>
        <v>-</v>
      </c>
      <c r="V69" s="14" t="str">
        <f>IF('Hypothèses et Graphiques'!$C$8&gt;=V$2,-V21+V44,"-")</f>
        <v>-</v>
      </c>
    </row>
    <row r="70" spans="2:22" x14ac:dyDescent="0.25">
      <c r="B70" s="5" t="s">
        <v>19</v>
      </c>
      <c r="E70" s="14">
        <f t="shared" ref="E70" si="19">IF(E22="-","-",-E22+E45)</f>
        <v>12264</v>
      </c>
      <c r="F70" s="14" t="str">
        <f>IF('Hypothèses et Graphiques'!$C$8&gt;=F$2,-F22+F45,"-")</f>
        <v>-</v>
      </c>
      <c r="G70" s="14" t="str">
        <f>IF('Hypothèses et Graphiques'!$C$8&gt;=G$2,-G22+G45,"-")</f>
        <v>-</v>
      </c>
      <c r="H70" s="14" t="str">
        <f>IF('Hypothèses et Graphiques'!$C$8&gt;=H$2,-H22+H45,"-")</f>
        <v>-</v>
      </c>
      <c r="I70" s="14" t="str">
        <f>IF('Hypothèses et Graphiques'!$C$8&gt;=I$2,-I22+I45,"-")</f>
        <v>-</v>
      </c>
      <c r="J70" s="14" t="str">
        <f>IF('Hypothèses et Graphiques'!$C$8&gt;=J$2,-J22+J45,"-")</f>
        <v>-</v>
      </c>
      <c r="K70" s="14" t="str">
        <f>IF('Hypothèses et Graphiques'!$C$8&gt;=K$2,-K22+K45,"-")</f>
        <v>-</v>
      </c>
      <c r="L70" s="14" t="str">
        <f>IF('Hypothèses et Graphiques'!$C$8&gt;=L$2,-L22+L45,"-")</f>
        <v>-</v>
      </c>
      <c r="M70" s="14" t="str">
        <f>IF('Hypothèses et Graphiques'!$C$8&gt;=M$2,-M22+M45,"-")</f>
        <v>-</v>
      </c>
      <c r="N70" s="14" t="str">
        <f>IF('Hypothèses et Graphiques'!$C$8&gt;=N$2,-N22+N45,"-")</f>
        <v>-</v>
      </c>
      <c r="O70" s="14" t="str">
        <f>IF('Hypothèses et Graphiques'!$C$8&gt;=O$2,-O22+O45,"-")</f>
        <v>-</v>
      </c>
      <c r="P70" s="14" t="str">
        <f>IF('Hypothèses et Graphiques'!$C$8&gt;=P$2,-P22+P45,"-")</f>
        <v>-</v>
      </c>
      <c r="Q70" s="14" t="str">
        <f>IF('Hypothèses et Graphiques'!$C$8&gt;=Q$2,-Q22+Q45,"-")</f>
        <v>-</v>
      </c>
      <c r="R70" s="14" t="str">
        <f>IF('Hypothèses et Graphiques'!$C$8&gt;=R$2,-R22+R45,"-")</f>
        <v>-</v>
      </c>
      <c r="S70" s="14" t="str">
        <f>IF('Hypothèses et Graphiques'!$C$8&gt;=S$2,-S22+S45,"-")</f>
        <v>-</v>
      </c>
      <c r="T70" s="14" t="str">
        <f>IF('Hypothèses et Graphiques'!$C$8&gt;=T$2,-T22+T45,"-")</f>
        <v>-</v>
      </c>
      <c r="U70" s="14" t="str">
        <f>IF('Hypothèses et Graphiques'!$C$8&gt;=U$2,-U22+U45,"-")</f>
        <v>-</v>
      </c>
      <c r="V70" s="14" t="str">
        <f>IF('Hypothèses et Graphiques'!$C$8&gt;=V$2,-V22+V45,"-")</f>
        <v>-</v>
      </c>
    </row>
    <row r="71" spans="2:22" ht="14.4" thickBot="1" x14ac:dyDescent="0.3">
      <c r="B71" s="6" t="s">
        <v>20</v>
      </c>
      <c r="E71" s="14">
        <f t="shared" ref="E71" si="20">IF(E23="-","-",-E23+E46)</f>
        <v>1562</v>
      </c>
      <c r="F71" s="14" t="str">
        <f>IF('Hypothèses et Graphiques'!$C$8&gt;=F$2,-F23+F46,"-")</f>
        <v>-</v>
      </c>
      <c r="G71" s="14" t="str">
        <f>IF('Hypothèses et Graphiques'!$C$8&gt;=G$2,-G23+G46,"-")</f>
        <v>-</v>
      </c>
      <c r="H71" s="14" t="str">
        <f>IF('Hypothèses et Graphiques'!$C$8&gt;=H$2,-H23+H46,"-")</f>
        <v>-</v>
      </c>
      <c r="I71" s="14" t="str">
        <f>IF('Hypothèses et Graphiques'!$C$8&gt;=I$2,-I23+I46,"-")</f>
        <v>-</v>
      </c>
      <c r="J71" s="14" t="str">
        <f>IF('Hypothèses et Graphiques'!$C$8&gt;=J$2,-J23+J46,"-")</f>
        <v>-</v>
      </c>
      <c r="K71" s="14" t="str">
        <f>IF('Hypothèses et Graphiques'!$C$8&gt;=K$2,-K23+K46,"-")</f>
        <v>-</v>
      </c>
      <c r="L71" s="14" t="str">
        <f>IF('Hypothèses et Graphiques'!$C$8&gt;=L$2,-L23+L46,"-")</f>
        <v>-</v>
      </c>
      <c r="M71" s="14" t="str">
        <f>IF('Hypothèses et Graphiques'!$C$8&gt;=M$2,-M23+M46,"-")</f>
        <v>-</v>
      </c>
      <c r="N71" s="14" t="str">
        <f>IF('Hypothèses et Graphiques'!$C$8&gt;=N$2,-N23+N46,"-")</f>
        <v>-</v>
      </c>
      <c r="O71" s="14" t="str">
        <f>IF('Hypothèses et Graphiques'!$C$8&gt;=O$2,-O23+O46,"-")</f>
        <v>-</v>
      </c>
      <c r="P71" s="14" t="str">
        <f>IF('Hypothèses et Graphiques'!$C$8&gt;=P$2,-P23+P46,"-")</f>
        <v>-</v>
      </c>
      <c r="Q71" s="14" t="str">
        <f>IF('Hypothèses et Graphiques'!$C$8&gt;=Q$2,-Q23+Q46,"-")</f>
        <v>-</v>
      </c>
      <c r="R71" s="14" t="str">
        <f>IF('Hypothèses et Graphiques'!$C$8&gt;=R$2,-R23+R46,"-")</f>
        <v>-</v>
      </c>
      <c r="S71" s="14" t="str">
        <f>IF('Hypothèses et Graphiques'!$C$8&gt;=S$2,-S23+S46,"-")</f>
        <v>-</v>
      </c>
      <c r="T71" s="14" t="str">
        <f>IF('Hypothèses et Graphiques'!$C$8&gt;=T$2,-T23+T46,"-")</f>
        <v>-</v>
      </c>
      <c r="U71" s="14" t="str">
        <f>IF('Hypothèses et Graphiques'!$C$8&gt;=U$2,-U23+U46,"-")</f>
        <v>-</v>
      </c>
      <c r="V71" s="14" t="str">
        <f>IF('Hypothèses et Graphiques'!$C$8&gt;=V$2,-V23+V46,"-")</f>
        <v>-</v>
      </c>
    </row>
    <row r="73" spans="2:22" x14ac:dyDescent="0.25">
      <c r="B73" t="s">
        <v>46</v>
      </c>
      <c r="E73" s="14">
        <f>IF('Hypothèses et Graphiques'!$C$8&gt;=E2,SUM(E51:E71),"-")</f>
        <v>8327126</v>
      </c>
      <c r="F73" s="14" t="str">
        <f>IF('Hypothèses et Graphiques'!$C$8&gt;=F2,SUM(F51:F71),"-")</f>
        <v>-</v>
      </c>
      <c r="G73" s="14" t="str">
        <f>IF('Hypothèses et Graphiques'!$C$8&gt;=G2,SUM(G51:G71),"-")</f>
        <v>-</v>
      </c>
      <c r="H73" s="14" t="str">
        <f>IF('Hypothèses et Graphiques'!$C$8&gt;=H2,SUM(H51:H71),"-")</f>
        <v>-</v>
      </c>
      <c r="I73" s="14" t="str">
        <f>IF('Hypothèses et Graphiques'!$C$8&gt;=I2,SUM(I51:I71),"-")</f>
        <v>-</v>
      </c>
      <c r="J73" s="14" t="str">
        <f>IF('Hypothèses et Graphiques'!$C$8&gt;=J2,SUM(J51:J71),"-")</f>
        <v>-</v>
      </c>
      <c r="K73" s="14" t="str">
        <f>IF('Hypothèses et Graphiques'!$C$8&gt;=K2,SUM(K51:K71),"-")</f>
        <v>-</v>
      </c>
      <c r="L73" s="14" t="str">
        <f>IF('Hypothèses et Graphiques'!$C$8&gt;=L2,SUM(L51:L71),"-")</f>
        <v>-</v>
      </c>
      <c r="M73" s="14" t="str">
        <f>IF('Hypothèses et Graphiques'!$C$8&gt;=M2,SUM(M51:M71),"-")</f>
        <v>-</v>
      </c>
      <c r="N73" s="14" t="str">
        <f>IF('Hypothèses et Graphiques'!$C$8&gt;=N2,SUM(N51:N71),"-")</f>
        <v>-</v>
      </c>
      <c r="O73" s="14" t="str">
        <f>IF('Hypothèses et Graphiques'!$C$8&gt;=O2,SUM(O51:O71),"-")</f>
        <v>-</v>
      </c>
      <c r="P73" s="14" t="str">
        <f>IF('Hypothèses et Graphiques'!$C$8&gt;=P2,SUM(P51:P71),"-")</f>
        <v>-</v>
      </c>
      <c r="Q73" s="14" t="str">
        <f>IF('Hypothèses et Graphiques'!$C$8&gt;=Q2,SUM(Q51:Q71),"-")</f>
        <v>-</v>
      </c>
      <c r="R73" s="14" t="str">
        <f>IF('Hypothèses et Graphiques'!$C$8&gt;=R2,SUM(R51:R71),"-")</f>
        <v>-</v>
      </c>
      <c r="S73" s="14" t="str">
        <f>IF('Hypothèses et Graphiques'!$C$8&gt;=S2,SUM(S51:S71),"-")</f>
        <v>-</v>
      </c>
      <c r="T73" s="14" t="str">
        <f>IF('Hypothèses et Graphiques'!$C$8&gt;=T2,SUM(T51:T71),"-")</f>
        <v>-</v>
      </c>
      <c r="U73" s="14" t="str">
        <f>IF('Hypothèses et Graphiques'!$C$8&gt;=U2,SUM(U51:U71),"-")</f>
        <v>-</v>
      </c>
      <c r="V73" s="14" t="str">
        <f>IF('Hypothèses et Graphiques'!$C$8&gt;=V2,SUM(V51:V71),"-")</f>
        <v>-</v>
      </c>
    </row>
    <row r="75" spans="2:22" x14ac:dyDescent="0.25">
      <c r="B75" s="67" t="s">
        <v>66</v>
      </c>
      <c r="E75" s="14">
        <f>IF('Hypothèses et Graphiques'!$C$8&gt;=E$2,SUM(E51:E53),"-")</f>
        <v>1236792</v>
      </c>
      <c r="F75" s="14" t="str">
        <f>IF('Hypothèses et Graphiques'!$C$8&gt;=F$2,SUM(F51:F53),"-")</f>
        <v>-</v>
      </c>
      <c r="G75" s="14" t="str">
        <f>IF('Hypothèses et Graphiques'!$C$8&gt;=G$2,SUM(G51:G53),"-")</f>
        <v>-</v>
      </c>
      <c r="H75" s="14" t="str">
        <f>IF('Hypothèses et Graphiques'!$C$8&gt;=H$2,SUM(H51:H53),"-")</f>
        <v>-</v>
      </c>
      <c r="I75" s="14" t="str">
        <f>IF('Hypothèses et Graphiques'!$C$8&gt;=I$2,SUM(I51:I53),"-")</f>
        <v>-</v>
      </c>
      <c r="J75" s="14" t="str">
        <f>IF('Hypothèses et Graphiques'!$C$8&gt;=J$2,SUM(J51:J53),"-")</f>
        <v>-</v>
      </c>
      <c r="K75" s="14" t="str">
        <f>IF('Hypothèses et Graphiques'!$C$8&gt;=K$2,SUM(K51:K53),"-")</f>
        <v>-</v>
      </c>
      <c r="L75" s="14" t="str">
        <f>IF('Hypothèses et Graphiques'!$C$8&gt;=L$2,SUM(L51:L53),"-")</f>
        <v>-</v>
      </c>
      <c r="M75" s="14" t="str">
        <f>IF('Hypothèses et Graphiques'!$C$8&gt;=M$2,SUM(M51:M53),"-")</f>
        <v>-</v>
      </c>
      <c r="N75" s="14" t="str">
        <f>IF('Hypothèses et Graphiques'!$C$8&gt;=N$2,SUM(N51:N53),"-")</f>
        <v>-</v>
      </c>
      <c r="O75" s="14" t="str">
        <f>IF('Hypothèses et Graphiques'!$C$8&gt;=O$2,SUM(O51:O53),"-")</f>
        <v>-</v>
      </c>
      <c r="P75" s="14" t="str">
        <f>IF('Hypothèses et Graphiques'!$C$8&gt;=P$2,SUM(P51:P53),"-")</f>
        <v>-</v>
      </c>
      <c r="Q75" s="14" t="str">
        <f>IF('Hypothèses et Graphiques'!$C$8&gt;=Q$2,SUM(Q51:Q53),"-")</f>
        <v>-</v>
      </c>
      <c r="R75" s="14" t="str">
        <f>IF('Hypothèses et Graphiques'!$C$8&gt;=R$2,SUM(R51:R53),"-")</f>
        <v>-</v>
      </c>
      <c r="S75" s="14" t="str">
        <f>IF('Hypothèses et Graphiques'!$C$8&gt;=S$2,SUM(S51:S53),"-")</f>
        <v>-</v>
      </c>
      <c r="T75" s="14" t="str">
        <f>IF('Hypothèses et Graphiques'!$C$8&gt;=T$2,SUM(T51:T53),"-")</f>
        <v>-</v>
      </c>
      <c r="U75" s="14" t="str">
        <f>IF('Hypothèses et Graphiques'!$C$8&gt;=U$2,SUM(U51:U53),"-")</f>
        <v>-</v>
      </c>
      <c r="V75" s="14" t="str">
        <f>IF('Hypothèses et Graphiques'!$C$8&gt;=V$2,SUM(V51:V53),"-")</f>
        <v>-</v>
      </c>
    </row>
    <row r="76" spans="2:22" x14ac:dyDescent="0.25">
      <c r="B76" t="s">
        <v>67</v>
      </c>
      <c r="E76" s="14">
        <f>IF('Hypothèses et Graphiques'!$C$8&gt;=E$2,SUM(E64:E71),"-")</f>
        <v>1495052</v>
      </c>
      <c r="F76" s="14" t="str">
        <f>IF('Hypothèses et Graphiques'!$C$8&gt;=F$2,SUM(F64:F71),"-")</f>
        <v>-</v>
      </c>
      <c r="G76" s="14" t="str">
        <f>IF('Hypothèses et Graphiques'!$C$8&gt;=G$2,SUM(G64:G71),"-")</f>
        <v>-</v>
      </c>
      <c r="H76" s="14" t="str">
        <f>IF('Hypothèses et Graphiques'!$C$8&gt;=H$2,SUM(H64:H71),"-")</f>
        <v>-</v>
      </c>
      <c r="I76" s="14" t="str">
        <f>IF('Hypothèses et Graphiques'!$C$8&gt;=I$2,SUM(I64:I71),"-")</f>
        <v>-</v>
      </c>
      <c r="J76" s="14" t="str">
        <f>IF('Hypothèses et Graphiques'!$C$8&gt;=J$2,SUM(J64:J71),"-")</f>
        <v>-</v>
      </c>
      <c r="K76" s="14" t="str">
        <f>IF('Hypothèses et Graphiques'!$C$8&gt;=K$2,SUM(K64:K71),"-")</f>
        <v>-</v>
      </c>
      <c r="L76" s="14" t="str">
        <f>IF('Hypothèses et Graphiques'!$C$8&gt;=L$2,SUM(L64:L71),"-")</f>
        <v>-</v>
      </c>
      <c r="M76" s="14" t="str">
        <f>IF('Hypothèses et Graphiques'!$C$8&gt;=M$2,SUM(M64:M71),"-")</f>
        <v>-</v>
      </c>
      <c r="N76" s="14" t="str">
        <f>IF('Hypothèses et Graphiques'!$C$8&gt;=N$2,SUM(N64:N71),"-")</f>
        <v>-</v>
      </c>
      <c r="O76" s="14" t="str">
        <f>IF('Hypothèses et Graphiques'!$C$8&gt;=O$2,SUM(O64:O71),"-")</f>
        <v>-</v>
      </c>
      <c r="P76" s="14" t="str">
        <f>IF('Hypothèses et Graphiques'!$C$8&gt;=P$2,SUM(P64:P71),"-")</f>
        <v>-</v>
      </c>
      <c r="Q76" s="14" t="str">
        <f>IF('Hypothèses et Graphiques'!$C$8&gt;=Q$2,SUM(Q64:Q71),"-")</f>
        <v>-</v>
      </c>
      <c r="R76" s="14" t="str">
        <f>IF('Hypothèses et Graphiques'!$C$8&gt;=R$2,SUM(R64:R71),"-")</f>
        <v>-</v>
      </c>
      <c r="S76" s="14" t="str">
        <f>IF('Hypothèses et Graphiques'!$C$8&gt;=S$2,SUM(S64:S71),"-")</f>
        <v>-</v>
      </c>
      <c r="T76" s="14" t="str">
        <f>IF('Hypothèses et Graphiques'!$C$8&gt;=T$2,SUM(T64:T71),"-")</f>
        <v>-</v>
      </c>
      <c r="U76" s="14" t="str">
        <f>IF('Hypothèses et Graphiques'!$C$8&gt;=U$2,SUM(U64:U71),"-")</f>
        <v>-</v>
      </c>
      <c r="V76" s="14" t="str">
        <f>IF('Hypothèses et Graphiques'!$C$8&gt;=V$2,SUM(V64:V71),"-")</f>
        <v>-</v>
      </c>
    </row>
    <row r="77" spans="2:22" x14ac:dyDescent="0.25">
      <c r="B77" t="s">
        <v>68</v>
      </c>
      <c r="E77" s="14">
        <f>IF('Hypothèses et Graphiques'!$C$8&gt;=E$2,SUM(E67:E71),"-")</f>
        <v>416867</v>
      </c>
      <c r="F77" s="14" t="str">
        <f>IF('Hypothèses et Graphiques'!$C$8&gt;=F$2,SUM(F67:F71),"-")</f>
        <v>-</v>
      </c>
      <c r="G77" s="14" t="str">
        <f>IF('Hypothèses et Graphiques'!$C$8&gt;=G$2,SUM(G67:G71),"-")</f>
        <v>-</v>
      </c>
      <c r="H77" s="14" t="str">
        <f>IF('Hypothèses et Graphiques'!$C$8&gt;=H$2,SUM(H67:H71),"-")</f>
        <v>-</v>
      </c>
      <c r="I77" s="14" t="str">
        <f>IF('Hypothèses et Graphiques'!$C$8&gt;=I$2,SUM(I67:I71),"-")</f>
        <v>-</v>
      </c>
      <c r="J77" s="14" t="str">
        <f>IF('Hypothèses et Graphiques'!$C$8&gt;=J$2,SUM(J67:J71),"-")</f>
        <v>-</v>
      </c>
      <c r="K77" s="14" t="str">
        <f>IF('Hypothèses et Graphiques'!$C$8&gt;=K$2,SUM(K67:K71),"-")</f>
        <v>-</v>
      </c>
      <c r="L77" s="14" t="str">
        <f>IF('Hypothèses et Graphiques'!$C$8&gt;=L$2,SUM(L67:L71),"-")</f>
        <v>-</v>
      </c>
      <c r="M77" s="14" t="str">
        <f>IF('Hypothèses et Graphiques'!$C$8&gt;=M$2,SUM(M67:M71),"-")</f>
        <v>-</v>
      </c>
      <c r="N77" s="14" t="str">
        <f>IF('Hypothèses et Graphiques'!$C$8&gt;=N$2,SUM(N67:N71),"-")</f>
        <v>-</v>
      </c>
      <c r="O77" s="14" t="str">
        <f>IF('Hypothèses et Graphiques'!$C$8&gt;=O$2,SUM(O67:O71),"-")</f>
        <v>-</v>
      </c>
      <c r="P77" s="14" t="str">
        <f>IF('Hypothèses et Graphiques'!$C$8&gt;=P$2,SUM(P67:P71),"-")</f>
        <v>-</v>
      </c>
      <c r="Q77" s="14" t="str">
        <f>IF('Hypothèses et Graphiques'!$C$8&gt;=Q$2,SUM(Q67:Q71),"-")</f>
        <v>-</v>
      </c>
      <c r="R77" s="14" t="str">
        <f>IF('Hypothèses et Graphiques'!$C$8&gt;=R$2,SUM(R67:R71),"-")</f>
        <v>-</v>
      </c>
      <c r="S77" s="14" t="str">
        <f>IF('Hypothèses et Graphiques'!$C$8&gt;=S$2,SUM(S67:S71),"-")</f>
        <v>-</v>
      </c>
      <c r="T77" s="14" t="str">
        <f>IF('Hypothèses et Graphiques'!$C$8&gt;=T$2,SUM(T67:T71),"-")</f>
        <v>-</v>
      </c>
      <c r="U77" s="14" t="str">
        <f>IF('Hypothèses et Graphiques'!$C$8&gt;=U$2,SUM(U67:U71),"-")</f>
        <v>-</v>
      </c>
      <c r="V77" s="14" t="str">
        <f>IF('Hypothèses et Graphiques'!$C$8&gt;=V$2,SUM(V67:V71),"-")</f>
        <v>-</v>
      </c>
    </row>
    <row r="78" spans="2:22" x14ac:dyDescent="0.25">
      <c r="B78" t="s">
        <v>71</v>
      </c>
      <c r="E78" s="14">
        <f>IF('Hypothèses et Graphiques'!$C$8&gt;=E$2,SUM(E51:E54),"-")</f>
        <v>1675503</v>
      </c>
      <c r="F78" s="14" t="str">
        <f>IF('Hypothèses et Graphiques'!$C$8&gt;=F$2,SUM(F51:F54),"-")</f>
        <v>-</v>
      </c>
      <c r="G78" s="14" t="str">
        <f>IF('Hypothèses et Graphiques'!$C$8&gt;=G$2,SUM(G51:G54),"-")</f>
        <v>-</v>
      </c>
      <c r="H78" s="14" t="str">
        <f>IF('Hypothèses et Graphiques'!$C$8&gt;=H$2,SUM(H51:H54),"-")</f>
        <v>-</v>
      </c>
      <c r="I78" s="14" t="str">
        <f>IF('Hypothèses et Graphiques'!$C$8&gt;=I$2,SUM(I51:I54),"-")</f>
        <v>-</v>
      </c>
      <c r="J78" s="14" t="str">
        <f>IF('Hypothèses et Graphiques'!$C$8&gt;=J$2,SUM(J51:J54),"-")</f>
        <v>-</v>
      </c>
      <c r="K78" s="14" t="str">
        <f>IF('Hypothèses et Graphiques'!$C$8&gt;=K$2,SUM(K51:K54),"-")</f>
        <v>-</v>
      </c>
      <c r="L78" s="14" t="str">
        <f>IF('Hypothèses et Graphiques'!$C$8&gt;=L$2,SUM(L51:L54),"-")</f>
        <v>-</v>
      </c>
      <c r="M78" s="14" t="str">
        <f>IF('Hypothèses et Graphiques'!$C$8&gt;=M$2,SUM(M51:M54),"-")</f>
        <v>-</v>
      </c>
      <c r="N78" s="14" t="str">
        <f>IF('Hypothèses et Graphiques'!$C$8&gt;=N$2,SUM(N51:N54),"-")</f>
        <v>-</v>
      </c>
      <c r="O78" s="14" t="str">
        <f>IF('Hypothèses et Graphiques'!$C$8&gt;=O$2,SUM(O51:O54),"-")</f>
        <v>-</v>
      </c>
      <c r="P78" s="14" t="str">
        <f>IF('Hypothèses et Graphiques'!$C$8&gt;=P$2,SUM(P51:P54),"-")</f>
        <v>-</v>
      </c>
      <c r="Q78" s="14" t="str">
        <f>IF('Hypothèses et Graphiques'!$C$8&gt;=Q$2,SUM(Q51:Q54),"-")</f>
        <v>-</v>
      </c>
      <c r="R78" s="14" t="str">
        <f>IF('Hypothèses et Graphiques'!$C$8&gt;=R$2,SUM(R51:R54),"-")</f>
        <v>-</v>
      </c>
      <c r="S78" s="14" t="str">
        <f>IF('Hypothèses et Graphiques'!$C$8&gt;=S$2,SUM(S51:S54),"-")</f>
        <v>-</v>
      </c>
      <c r="T78" s="14" t="str">
        <f>IF('Hypothèses et Graphiques'!$C$8&gt;=T$2,SUM(T51:T54),"-")</f>
        <v>-</v>
      </c>
      <c r="U78" s="14" t="str">
        <f>IF('Hypothèses et Graphiques'!$C$8&gt;=U$2,SUM(U51:U54),"-")</f>
        <v>-</v>
      </c>
      <c r="V78" s="14" t="str">
        <f>IF('Hypothèses et Graphiques'!$C$8&gt;=V$2,SUM(V51:V54),"-")</f>
        <v>-</v>
      </c>
    </row>
    <row r="79" spans="2:22" x14ac:dyDescent="0.25">
      <c r="B79" t="s">
        <v>72</v>
      </c>
      <c r="E79" s="14">
        <f>IF('Hypothèses et Graphiques'!$C$8&gt;=E$2,SUM(E55:E63),"-")</f>
        <v>5156571</v>
      </c>
      <c r="F79" s="14" t="str">
        <f>IF('Hypothèses et Graphiques'!$C$8&gt;=F$2,SUM(F55:F63),"-")</f>
        <v>-</v>
      </c>
      <c r="G79" s="14" t="str">
        <f>IF('Hypothèses et Graphiques'!$C$8&gt;=G$2,SUM(G55:G63),"-")</f>
        <v>-</v>
      </c>
      <c r="H79" s="14" t="str">
        <f>IF('Hypothèses et Graphiques'!$C$8&gt;=H$2,SUM(H55:H63),"-")</f>
        <v>-</v>
      </c>
      <c r="I79" s="14" t="str">
        <f>IF('Hypothèses et Graphiques'!$C$8&gt;=I$2,SUM(I55:I63),"-")</f>
        <v>-</v>
      </c>
      <c r="J79" s="14" t="str">
        <f>IF('Hypothèses et Graphiques'!$C$8&gt;=J$2,SUM(J55:J63),"-")</f>
        <v>-</v>
      </c>
      <c r="K79" s="14" t="str">
        <f>IF('Hypothèses et Graphiques'!$C$8&gt;=K$2,SUM(K55:K63),"-")</f>
        <v>-</v>
      </c>
      <c r="L79" s="14" t="str">
        <f>IF('Hypothèses et Graphiques'!$C$8&gt;=L$2,SUM(L55:L63),"-")</f>
        <v>-</v>
      </c>
      <c r="M79" s="14" t="str">
        <f>IF('Hypothèses et Graphiques'!$C$8&gt;=M$2,SUM(M55:M63),"-")</f>
        <v>-</v>
      </c>
      <c r="N79" s="14" t="str">
        <f>IF('Hypothèses et Graphiques'!$C$8&gt;=N$2,SUM(N55:N63),"-")</f>
        <v>-</v>
      </c>
      <c r="O79" s="14" t="str">
        <f>IF('Hypothèses et Graphiques'!$C$8&gt;=O$2,SUM(O55:O63),"-")</f>
        <v>-</v>
      </c>
      <c r="P79" s="14" t="str">
        <f>IF('Hypothèses et Graphiques'!$C$8&gt;=P$2,SUM(P55:P63),"-")</f>
        <v>-</v>
      </c>
      <c r="Q79" s="14" t="str">
        <f>IF('Hypothèses et Graphiques'!$C$8&gt;=Q$2,SUM(Q55:Q63),"-")</f>
        <v>-</v>
      </c>
      <c r="R79" s="14" t="str">
        <f>IF('Hypothèses et Graphiques'!$C$8&gt;=R$2,SUM(R55:R63),"-")</f>
        <v>-</v>
      </c>
      <c r="S79" s="14" t="str">
        <f>IF('Hypothèses et Graphiques'!$C$8&gt;=S$2,SUM(S55:S63),"-")</f>
        <v>-</v>
      </c>
      <c r="T79" s="14" t="str">
        <f>IF('Hypothèses et Graphiques'!$C$8&gt;=T$2,SUM(T55:T63),"-")</f>
        <v>-</v>
      </c>
      <c r="U79" s="14" t="str">
        <f>IF('Hypothèses et Graphiques'!$C$8&gt;=U$2,SUM(U55:U63),"-")</f>
        <v>-</v>
      </c>
      <c r="V79" s="14" t="str">
        <f>IF('Hypothèses et Graphiques'!$C$8&gt;=V$2,SUM(V55:V63),"-")</f>
        <v>-</v>
      </c>
    </row>
    <row r="80" spans="2:22" ht="14.4" thickBot="1" x14ac:dyDescent="0.3"/>
    <row r="81" spans="2:22" ht="14.4" thickBot="1" x14ac:dyDescent="0.3">
      <c r="C81" s="32"/>
      <c r="E81" s="68">
        <v>2015</v>
      </c>
      <c r="F81" s="2">
        <v>2020</v>
      </c>
      <c r="G81" s="2">
        <v>2025</v>
      </c>
      <c r="H81" s="2">
        <v>2030</v>
      </c>
      <c r="I81" s="2">
        <v>2035</v>
      </c>
      <c r="J81" s="2">
        <v>2040</v>
      </c>
      <c r="K81" s="2">
        <v>2045</v>
      </c>
      <c r="L81" s="2">
        <v>2050</v>
      </c>
      <c r="M81" s="2">
        <v>2055</v>
      </c>
      <c r="N81" s="2">
        <v>2060</v>
      </c>
      <c r="O81" s="2">
        <v>2065</v>
      </c>
      <c r="P81" s="2">
        <v>2070</v>
      </c>
      <c r="Q81" s="2">
        <v>2075</v>
      </c>
      <c r="R81" s="2">
        <v>2080</v>
      </c>
      <c r="S81" s="2">
        <v>2085</v>
      </c>
      <c r="T81" s="2">
        <v>2090</v>
      </c>
      <c r="U81" s="2">
        <v>2095</v>
      </c>
      <c r="V81" s="3">
        <v>2100</v>
      </c>
    </row>
    <row r="82" spans="2:22" x14ac:dyDescent="0.25">
      <c r="B82" s="67" t="s">
        <v>73</v>
      </c>
      <c r="E82" s="69">
        <f>IF('Hypothèses et Graphiques'!$C$8&gt;=E$2,100*E75/E73,"-")</f>
        <v>14.852567380390305</v>
      </c>
      <c r="F82" s="69" t="str">
        <f>IF('Hypothèses et Graphiques'!$C$8&gt;=F$2,100*F75/F73,"-")</f>
        <v>-</v>
      </c>
      <c r="G82" s="69" t="str">
        <f>IF('Hypothèses et Graphiques'!$C$8&gt;=G$2,100*G75/G73,"-")</f>
        <v>-</v>
      </c>
      <c r="H82" s="69" t="str">
        <f>IF('Hypothèses et Graphiques'!$C$8&gt;=H$2,100*H75/H73,"-")</f>
        <v>-</v>
      </c>
      <c r="I82" s="69" t="str">
        <f>IF('Hypothèses et Graphiques'!$C$8&gt;=I$2,100*I75/I73,"-")</f>
        <v>-</v>
      </c>
      <c r="J82" s="69" t="str">
        <f>IF('Hypothèses et Graphiques'!$C$8&gt;=J$2,100*J75/J73,"-")</f>
        <v>-</v>
      </c>
      <c r="K82" s="69" t="str">
        <f>IF('Hypothèses et Graphiques'!$C$8&gt;=K$2,100*K75/K73,"-")</f>
        <v>-</v>
      </c>
      <c r="L82" s="69" t="str">
        <f>IF('Hypothèses et Graphiques'!$C$8&gt;=L$2,100*L75/L73,"-")</f>
        <v>-</v>
      </c>
      <c r="M82" s="69" t="str">
        <f>IF('Hypothèses et Graphiques'!$C$8&gt;=M$2,100*M75/M73,"-")</f>
        <v>-</v>
      </c>
      <c r="N82" s="69" t="str">
        <f>IF('Hypothèses et Graphiques'!$C$8&gt;=N$2,100*N75/N73,"-")</f>
        <v>-</v>
      </c>
      <c r="O82" s="69" t="str">
        <f>IF('Hypothèses et Graphiques'!$C$8&gt;=O$2,100*O75/O73,"-")</f>
        <v>-</v>
      </c>
      <c r="P82" s="69" t="str">
        <f>IF('Hypothèses et Graphiques'!$C$8&gt;=P$2,100*P75/P73,"-")</f>
        <v>-</v>
      </c>
      <c r="Q82" s="69" t="str">
        <f>IF('Hypothèses et Graphiques'!$C$8&gt;=Q$2,100*Q75/Q73,"-")</f>
        <v>-</v>
      </c>
      <c r="R82" s="69" t="str">
        <f>IF('Hypothèses et Graphiques'!$C$8&gt;=R$2,100*R75/R73,"-")</f>
        <v>-</v>
      </c>
      <c r="S82" s="69" t="str">
        <f>IF('Hypothèses et Graphiques'!$C$8&gt;=S$2,100*S75/S73,"-")</f>
        <v>-</v>
      </c>
      <c r="T82" s="69" t="str">
        <f>IF('Hypothèses et Graphiques'!$C$8&gt;=T$2,100*T75/T73,"-")</f>
        <v>-</v>
      </c>
      <c r="U82" s="69" t="str">
        <f>IF('Hypothèses et Graphiques'!$C$8&gt;=U$2,100*U75/U73,"-")</f>
        <v>-</v>
      </c>
      <c r="V82" s="69" t="str">
        <f>IF('Hypothèses et Graphiques'!$C$8&gt;=V$2,100*V75/V73,"-")</f>
        <v>-</v>
      </c>
    </row>
    <row r="83" spans="2:22" x14ac:dyDescent="0.25">
      <c r="B83" t="s">
        <v>74</v>
      </c>
      <c r="E83" s="69">
        <f>IF('Hypothèses et Graphiques'!$C$8&gt;=E$2,100*E76/E73,"-")</f>
        <v>17.953997573712709</v>
      </c>
      <c r="F83" s="69" t="str">
        <f>IF('Hypothèses et Graphiques'!$C$8&gt;=F$2,100*F76/F73,"-")</f>
        <v>-</v>
      </c>
      <c r="G83" s="69" t="str">
        <f>IF('Hypothèses et Graphiques'!$C$8&gt;=G$2,100*G76/G73,"-")</f>
        <v>-</v>
      </c>
      <c r="H83" s="69" t="str">
        <f>IF('Hypothèses et Graphiques'!$C$8&gt;=H$2,100*H76/H73,"-")</f>
        <v>-</v>
      </c>
      <c r="I83" s="69" t="str">
        <f>IF('Hypothèses et Graphiques'!$C$8&gt;=I$2,100*I76/I73,"-")</f>
        <v>-</v>
      </c>
      <c r="J83" s="69" t="str">
        <f>IF('Hypothèses et Graphiques'!$C$8&gt;=J$2,100*J76/J73,"-")</f>
        <v>-</v>
      </c>
      <c r="K83" s="69" t="str">
        <f>IF('Hypothèses et Graphiques'!$C$8&gt;=K$2,100*K76/K73,"-")</f>
        <v>-</v>
      </c>
      <c r="L83" s="69" t="str">
        <f>IF('Hypothèses et Graphiques'!$C$8&gt;=L$2,100*L76/L73,"-")</f>
        <v>-</v>
      </c>
      <c r="M83" s="69" t="str">
        <f>IF('Hypothèses et Graphiques'!$C$8&gt;=M$2,100*M76/M73,"-")</f>
        <v>-</v>
      </c>
      <c r="N83" s="69" t="str">
        <f>IF('Hypothèses et Graphiques'!$C$8&gt;=N$2,100*N76/N73,"-")</f>
        <v>-</v>
      </c>
      <c r="O83" s="69" t="str">
        <f>IF('Hypothèses et Graphiques'!$C$8&gt;=O$2,100*O76/O73,"-")</f>
        <v>-</v>
      </c>
      <c r="P83" s="69" t="str">
        <f>IF('Hypothèses et Graphiques'!$C$8&gt;=P$2,100*P76/P73,"-")</f>
        <v>-</v>
      </c>
      <c r="Q83" s="69" t="str">
        <f>IF('Hypothèses et Graphiques'!$C$8&gt;=Q$2,100*Q76/Q73,"-")</f>
        <v>-</v>
      </c>
      <c r="R83" s="69" t="str">
        <f>IF('Hypothèses et Graphiques'!$C$8&gt;=R$2,100*R76/R73,"-")</f>
        <v>-</v>
      </c>
      <c r="S83" s="69" t="str">
        <f>IF('Hypothèses et Graphiques'!$C$8&gt;=S$2,100*S76/S73,"-")</f>
        <v>-</v>
      </c>
      <c r="T83" s="69" t="str">
        <f>IF('Hypothèses et Graphiques'!$C$8&gt;=T$2,100*T76/T73,"-")</f>
        <v>-</v>
      </c>
      <c r="U83" s="69" t="str">
        <f>IF('Hypothèses et Graphiques'!$C$8&gt;=U$2,100*U76/U73,"-")</f>
        <v>-</v>
      </c>
      <c r="V83" s="69" t="str">
        <f>IF('Hypothèses et Graphiques'!$C$8&gt;=V$2,100*V76/V73,"-")</f>
        <v>-</v>
      </c>
    </row>
    <row r="84" spans="2:22" x14ac:dyDescent="0.25">
      <c r="B84" t="s">
        <v>75</v>
      </c>
      <c r="E84" s="69">
        <f>IF('Hypothèses et Graphiques'!$C$8&gt;=E$2,100*E77/E73,"-")</f>
        <v>5.0061329683254465</v>
      </c>
      <c r="F84" s="69" t="str">
        <f>IF('Hypothèses et Graphiques'!$C$8&gt;=F$2,100*F77/F73,"-")</f>
        <v>-</v>
      </c>
      <c r="G84" s="69" t="str">
        <f>IF('Hypothèses et Graphiques'!$C$8&gt;=G$2,100*G77/G73,"-")</f>
        <v>-</v>
      </c>
      <c r="H84" s="69" t="str">
        <f>IF('Hypothèses et Graphiques'!$C$8&gt;=H$2,100*H77/H73,"-")</f>
        <v>-</v>
      </c>
      <c r="I84" s="69" t="str">
        <f>IF('Hypothèses et Graphiques'!$C$8&gt;=I$2,100*I77/I73,"-")</f>
        <v>-</v>
      </c>
      <c r="J84" s="69" t="str">
        <f>IF('Hypothèses et Graphiques'!$C$8&gt;=J$2,100*J77/J73,"-")</f>
        <v>-</v>
      </c>
      <c r="K84" s="69" t="str">
        <f>IF('Hypothèses et Graphiques'!$C$8&gt;=K$2,100*K77/K73,"-")</f>
        <v>-</v>
      </c>
      <c r="L84" s="69" t="str">
        <f>IF('Hypothèses et Graphiques'!$C$8&gt;=L$2,100*L77/L73,"-")</f>
        <v>-</v>
      </c>
      <c r="M84" s="69" t="str">
        <f>IF('Hypothèses et Graphiques'!$C$8&gt;=M$2,100*M77/M73,"-")</f>
        <v>-</v>
      </c>
      <c r="N84" s="69" t="str">
        <f>IF('Hypothèses et Graphiques'!$C$8&gt;=N$2,100*N77/N73,"-")</f>
        <v>-</v>
      </c>
      <c r="O84" s="69" t="str">
        <f>IF('Hypothèses et Graphiques'!$C$8&gt;=O$2,100*O77/O73,"-")</f>
        <v>-</v>
      </c>
      <c r="P84" s="69" t="str">
        <f>IF('Hypothèses et Graphiques'!$C$8&gt;=P$2,100*P77/P73,"-")</f>
        <v>-</v>
      </c>
      <c r="Q84" s="69" t="str">
        <f>IF('Hypothèses et Graphiques'!$C$8&gt;=Q$2,100*Q77/Q73,"-")</f>
        <v>-</v>
      </c>
      <c r="R84" s="69" t="str">
        <f>IF('Hypothèses et Graphiques'!$C$8&gt;=R$2,100*R77/R73,"-")</f>
        <v>-</v>
      </c>
      <c r="S84" s="69" t="str">
        <f>IF('Hypothèses et Graphiques'!$C$8&gt;=S$2,100*S77/S73,"-")</f>
        <v>-</v>
      </c>
      <c r="T84" s="69" t="str">
        <f>IF('Hypothèses et Graphiques'!$C$8&gt;=T$2,100*T77/T73,"-")</f>
        <v>-</v>
      </c>
      <c r="U84" s="69" t="str">
        <f>IF('Hypothèses et Graphiques'!$C$8&gt;=U$2,100*U77/U73,"-")</f>
        <v>-</v>
      </c>
      <c r="V84" s="69" t="str">
        <f>IF('Hypothèses et Graphiques'!$C$8&gt;=V$2,100*V77/V73,"-")</f>
        <v>-</v>
      </c>
    </row>
    <row r="85" spans="2:22" x14ac:dyDescent="0.25">
      <c r="B85" t="s">
        <v>69</v>
      </c>
      <c r="E85" s="69">
        <f>IF('Hypothèses et Graphiques'!$C$8&gt;=E$2,100*E78/E79,"-")</f>
        <v>32.492580825513699</v>
      </c>
      <c r="F85" s="69" t="str">
        <f>IF('Hypothèses et Graphiques'!$C$8&gt;=F$2,100*F78/F79,"-")</f>
        <v>-</v>
      </c>
      <c r="G85" s="69" t="str">
        <f>IF('Hypothèses et Graphiques'!$C$8&gt;=G$2,100*G78/G79,"-")</f>
        <v>-</v>
      </c>
      <c r="H85" s="69" t="str">
        <f>IF('Hypothèses et Graphiques'!$C$8&gt;=H$2,100*H78/H79,"-")</f>
        <v>-</v>
      </c>
      <c r="I85" s="69" t="str">
        <f>IF('Hypothèses et Graphiques'!$C$8&gt;=I$2,100*I78/I79,"-")</f>
        <v>-</v>
      </c>
      <c r="J85" s="69" t="str">
        <f>IF('Hypothèses et Graphiques'!$C$8&gt;=J$2,100*J78/J79,"-")</f>
        <v>-</v>
      </c>
      <c r="K85" s="69" t="str">
        <f>IF('Hypothèses et Graphiques'!$C$8&gt;=K$2,100*K78/K79,"-")</f>
        <v>-</v>
      </c>
      <c r="L85" s="69" t="str">
        <f>IF('Hypothèses et Graphiques'!$C$8&gt;=L$2,100*L78/L79,"-")</f>
        <v>-</v>
      </c>
      <c r="M85" s="69" t="str">
        <f>IF('Hypothèses et Graphiques'!$C$8&gt;=M$2,100*M78/M79,"-")</f>
        <v>-</v>
      </c>
      <c r="N85" s="69" t="str">
        <f>IF('Hypothèses et Graphiques'!$C$8&gt;=N$2,100*N78/N79,"-")</f>
        <v>-</v>
      </c>
      <c r="O85" s="69" t="str">
        <f>IF('Hypothèses et Graphiques'!$C$8&gt;=O$2,100*O78/O79,"-")</f>
        <v>-</v>
      </c>
      <c r="P85" s="69" t="str">
        <f>IF('Hypothèses et Graphiques'!$C$8&gt;=P$2,100*P78/P79,"-")</f>
        <v>-</v>
      </c>
      <c r="Q85" s="69" t="str">
        <f>IF('Hypothèses et Graphiques'!$C$8&gt;=Q$2,100*Q78/Q79,"-")</f>
        <v>-</v>
      </c>
      <c r="R85" s="69" t="str">
        <f>IF('Hypothèses et Graphiques'!$C$8&gt;=R$2,100*R78/R79,"-")</f>
        <v>-</v>
      </c>
      <c r="S85" s="69" t="str">
        <f>IF('Hypothèses et Graphiques'!$C$8&gt;=S$2,100*S78/S79,"-")</f>
        <v>-</v>
      </c>
      <c r="T85" s="69" t="str">
        <f>IF('Hypothèses et Graphiques'!$C$8&gt;=T$2,100*T78/T79,"-")</f>
        <v>-</v>
      </c>
      <c r="U85" s="69" t="str">
        <f>IF('Hypothèses et Graphiques'!$C$8&gt;=U$2,100*U78/U79,"-")</f>
        <v>-</v>
      </c>
      <c r="V85" s="69" t="str">
        <f>IF('Hypothèses et Graphiques'!$C$8&gt;=V$2,100*V78/V79,"-")</f>
        <v>-</v>
      </c>
    </row>
    <row r="86" spans="2:22" x14ac:dyDescent="0.25">
      <c r="B86" t="s">
        <v>70</v>
      </c>
      <c r="E86" s="69">
        <f>IF('Hypothèses et Graphiques'!$C$8&gt;=E$2,100*E76/E79,"-")</f>
        <v>28.993142923853856</v>
      </c>
      <c r="F86" s="69" t="str">
        <f>IF('Hypothèses et Graphiques'!$C$8&gt;=F$2,100*F76/F79,"-")</f>
        <v>-</v>
      </c>
      <c r="G86" s="69" t="str">
        <f>IF('Hypothèses et Graphiques'!$C$8&gt;=G$2,100*G76/G79,"-")</f>
        <v>-</v>
      </c>
      <c r="H86" s="69" t="str">
        <f>IF('Hypothèses et Graphiques'!$C$8&gt;=H$2,100*H76/H79,"-")</f>
        <v>-</v>
      </c>
      <c r="I86" s="69" t="str">
        <f>IF('Hypothèses et Graphiques'!$C$8&gt;=I$2,100*I76/I79,"-")</f>
        <v>-</v>
      </c>
      <c r="J86" s="69" t="str">
        <f>IF('Hypothèses et Graphiques'!$C$8&gt;=J$2,100*J76/J79,"-")</f>
        <v>-</v>
      </c>
      <c r="K86" s="69" t="str">
        <f>IF('Hypothèses et Graphiques'!$C$8&gt;=K$2,100*K76/K79,"-")</f>
        <v>-</v>
      </c>
      <c r="L86" s="69" t="str">
        <f>IF('Hypothèses et Graphiques'!$C$8&gt;=L$2,100*L76/L79,"-")</f>
        <v>-</v>
      </c>
      <c r="M86" s="69" t="str">
        <f>IF('Hypothèses et Graphiques'!$C$8&gt;=M$2,100*M76/M79,"-")</f>
        <v>-</v>
      </c>
      <c r="N86" s="69" t="str">
        <f>IF('Hypothèses et Graphiques'!$C$8&gt;=N$2,100*N76/N79,"-")</f>
        <v>-</v>
      </c>
      <c r="O86" s="69" t="str">
        <f>IF('Hypothèses et Graphiques'!$C$8&gt;=O$2,100*O76/O79,"-")</f>
        <v>-</v>
      </c>
      <c r="P86" s="69" t="str">
        <f>IF('Hypothèses et Graphiques'!$C$8&gt;=P$2,100*P76/P79,"-")</f>
        <v>-</v>
      </c>
      <c r="Q86" s="69" t="str">
        <f>IF('Hypothèses et Graphiques'!$C$8&gt;=Q$2,100*Q76/Q79,"-")</f>
        <v>-</v>
      </c>
      <c r="R86" s="69" t="str">
        <f>IF('Hypothèses et Graphiques'!$C$8&gt;=R$2,100*R76/R79,"-")</f>
        <v>-</v>
      </c>
      <c r="S86" s="69" t="str">
        <f>IF('Hypothèses et Graphiques'!$C$8&gt;=S$2,100*S76/S79,"-")</f>
        <v>-</v>
      </c>
      <c r="T86" s="69" t="str">
        <f>IF('Hypothèses et Graphiques'!$C$8&gt;=T$2,100*T76/T79,"-")</f>
        <v>-</v>
      </c>
      <c r="U86" s="69" t="str">
        <f>IF('Hypothèses et Graphiques'!$C$8&gt;=U$2,100*U76/U79,"-")</f>
        <v>-</v>
      </c>
      <c r="V86" s="69" t="str">
        <f>IF('Hypothèses et Graphiques'!$C$8&gt;=V$2,100*V76/V79,"-")</f>
        <v>-</v>
      </c>
    </row>
    <row r="88" spans="2:22" x14ac:dyDescent="0.25">
      <c r="E88">
        <f>IF('Hypothèses et Graphiques'!$C$8&gt;=E2,E2,"-")</f>
        <v>2015</v>
      </c>
      <c r="F88" t="str">
        <f>IF('Hypothèses et Graphiques'!$C$8&gt;=F2,F2,"-")</f>
        <v>-</v>
      </c>
      <c r="G88" t="str">
        <f>IF('Hypothèses et Graphiques'!$C$8&gt;=G2,G2,"-")</f>
        <v>-</v>
      </c>
      <c r="H88" t="str">
        <f>IF('Hypothèses et Graphiques'!$C$8&gt;=H2,H2,"-")</f>
        <v>-</v>
      </c>
      <c r="I88" t="str">
        <f>IF('Hypothèses et Graphiques'!$C$8&gt;=I2,I2,"-")</f>
        <v>-</v>
      </c>
      <c r="J88" t="str">
        <f>IF('Hypothèses et Graphiques'!$C$8&gt;=J2,J2,"-")</f>
        <v>-</v>
      </c>
      <c r="K88" t="str">
        <f>IF('Hypothèses et Graphiques'!$C$8&gt;=K2,K2,"-")</f>
        <v>-</v>
      </c>
      <c r="L88" t="str">
        <f>IF('Hypothèses et Graphiques'!$C$8&gt;=L2,L2,"-")</f>
        <v>-</v>
      </c>
      <c r="M88" t="str">
        <f>IF('Hypothèses et Graphiques'!$C$8&gt;=M2,M2,"-")</f>
        <v>-</v>
      </c>
      <c r="N88" t="str">
        <f>IF('Hypothèses et Graphiques'!$C$8&gt;=N2,N2,"-")</f>
        <v>-</v>
      </c>
      <c r="O88" t="str">
        <f>IF('Hypothèses et Graphiques'!$C$8&gt;=O2,O2,"-")</f>
        <v>-</v>
      </c>
      <c r="P88" t="str">
        <f>IF('Hypothèses et Graphiques'!$C$8&gt;=P2,P2,"-")</f>
        <v>-</v>
      </c>
      <c r="Q88" t="str">
        <f>IF('Hypothèses et Graphiques'!$C$8&gt;=Q2,Q2,"-")</f>
        <v>-</v>
      </c>
      <c r="R88" t="str">
        <f>IF('Hypothèses et Graphiques'!$C$8&gt;=R2,R2,"-")</f>
        <v>-</v>
      </c>
      <c r="S88" t="str">
        <f>IF('Hypothèses et Graphiques'!$C$8&gt;=S2,S2,"-")</f>
        <v>-</v>
      </c>
      <c r="T88" t="str">
        <f>IF('Hypothèses et Graphiques'!$C$8&gt;=T2,T2,"-")</f>
        <v>-</v>
      </c>
      <c r="U88" t="str">
        <f>IF('Hypothèses et Graphiques'!$C$8&gt;=U2,U2,"-")</f>
        <v>-</v>
      </c>
      <c r="V88" t="str">
        <f>IF('Hypothèses et Graphiques'!$C$8&gt;=V2,V2,"-")</f>
        <v>-</v>
      </c>
    </row>
  </sheetData>
  <pageMargins left="0.7" right="0.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</sheetPr>
  <dimension ref="B1:G21"/>
  <sheetViews>
    <sheetView workbookViewId="0"/>
  </sheetViews>
  <sheetFormatPr baseColWidth="10" defaultColWidth="11" defaultRowHeight="13.8" x14ac:dyDescent="0.25"/>
  <cols>
    <col min="1" max="1" width="5" customWidth="1"/>
    <col min="3" max="4" width="19.8984375" customWidth="1"/>
    <col min="5" max="5" width="17.5" customWidth="1"/>
    <col min="6" max="7" width="19.8984375" customWidth="1"/>
  </cols>
  <sheetData>
    <row r="1" spans="2:7" x14ac:dyDescent="0.25">
      <c r="B1" t="s">
        <v>55</v>
      </c>
    </row>
    <row r="2" spans="2:7" ht="14.4" thickBot="1" x14ac:dyDescent="0.3"/>
    <row r="3" spans="2:7" ht="55.8" thickBot="1" x14ac:dyDescent="0.3">
      <c r="B3" s="37" t="s">
        <v>56</v>
      </c>
      <c r="C3" s="35" t="s">
        <v>63</v>
      </c>
      <c r="D3" s="34" t="s">
        <v>64</v>
      </c>
      <c r="E3" s="34" t="s">
        <v>65</v>
      </c>
      <c r="F3" s="34" t="s">
        <v>76</v>
      </c>
      <c r="G3" s="36" t="s">
        <v>77</v>
      </c>
    </row>
    <row r="4" spans="2:7" x14ac:dyDescent="0.25">
      <c r="B4" s="70">
        <v>2015</v>
      </c>
      <c r="C4" s="76">
        <f>IF($B4="-","-",LOOKUP($B4,'Graphique Evolution et Pyramide'!$E$81:$V$81,'Graphique Evolution et Pyramide'!$E$82:$V$82))</f>
        <v>14.852567380390305</v>
      </c>
      <c r="D4" s="75">
        <f>IF($B4="-","-",LOOKUP($B4,'Graphique Evolution et Pyramide'!$E$81:$V$81,'Graphique Evolution et Pyramide'!$E$83:$V$83))</f>
        <v>17.953997573712709</v>
      </c>
      <c r="E4" s="75">
        <f>IF($B4="-","-",LOOKUP($B4,'Graphique Evolution et Pyramide'!$E$81:$V$81,'Graphique Evolution et Pyramide'!$E$84:$V$84))</f>
        <v>5.0061329683254465</v>
      </c>
      <c r="F4" s="75">
        <f>IF($B4="-","-",LOOKUP($B4,'Graphique Evolution et Pyramide'!$E$81:$V$81,'Graphique Evolution et Pyramide'!$E$85:$V$85))</f>
        <v>32.492580825513699</v>
      </c>
      <c r="G4" s="77">
        <f>IF($B4="-","-",LOOKUP($B4,'Graphique Evolution et Pyramide'!$E$81:$V$81,'Graphique Evolution et Pyramide'!$E$86:$V$86))</f>
        <v>28.993142923853856</v>
      </c>
    </row>
    <row r="5" spans="2:7" x14ac:dyDescent="0.25">
      <c r="B5" s="71" t="str">
        <f>IF('Hypothèses et Graphiques'!$C$8&gt;=2020,2020,"-")</f>
        <v>-</v>
      </c>
      <c r="C5" s="78" t="str">
        <f>IF($B5="-","-",LOOKUP($B5,'Graphique Evolution et Pyramide'!$E$81:$V$81,'Graphique Evolution et Pyramide'!$E$82:$V$82))</f>
        <v>-</v>
      </c>
      <c r="D5" s="73" t="str">
        <f>IF($B5="-","-",LOOKUP($B5,'Graphique Evolution et Pyramide'!$E$81:$V$81,'Graphique Evolution et Pyramide'!$E$83:$V$83))</f>
        <v>-</v>
      </c>
      <c r="E5" s="73" t="str">
        <f>IF($B5="-","-",LOOKUP($B5,'Graphique Evolution et Pyramide'!$E$81:$V$81,'Graphique Evolution et Pyramide'!$E$84:$V$84))</f>
        <v>-</v>
      </c>
      <c r="F5" s="73" t="str">
        <f>IF($B5="-","-",LOOKUP($B5,'Graphique Evolution et Pyramide'!$E$81:$V$81,'Graphique Evolution et Pyramide'!$E$85:$V$85))</f>
        <v>-</v>
      </c>
      <c r="G5" s="79" t="str">
        <f>IF($B5="-","-",LOOKUP($B5,'Graphique Evolution et Pyramide'!$E$81:$V$81,'Graphique Evolution et Pyramide'!$E$86:$V$86))</f>
        <v>-</v>
      </c>
    </row>
    <row r="6" spans="2:7" x14ac:dyDescent="0.25">
      <c r="B6" s="71" t="str">
        <f>IF('Hypothèses et Graphiques'!$C$8&gt;=2025,2025,"-")</f>
        <v>-</v>
      </c>
      <c r="C6" s="78" t="str">
        <f>IF($B6="-","-",LOOKUP($B6,'Graphique Evolution et Pyramide'!$E$81:$V$81,'Graphique Evolution et Pyramide'!$E$82:$V$82))</f>
        <v>-</v>
      </c>
      <c r="D6" s="73" t="str">
        <f>IF($B6="-","-",LOOKUP($B6,'Graphique Evolution et Pyramide'!$E$81:$V$81,'Graphique Evolution et Pyramide'!$E$83:$V$83))</f>
        <v>-</v>
      </c>
      <c r="E6" s="73" t="str">
        <f>IF($B6="-","-",LOOKUP($B6,'Graphique Evolution et Pyramide'!$E$81:$V$81,'Graphique Evolution et Pyramide'!$E$84:$V$84))</f>
        <v>-</v>
      </c>
      <c r="F6" s="73" t="str">
        <f>IF($B6="-","-",LOOKUP($B6,'Graphique Evolution et Pyramide'!$E$81:$V$81,'Graphique Evolution et Pyramide'!$E$85:$V$85))</f>
        <v>-</v>
      </c>
      <c r="G6" s="79" t="str">
        <f>IF($B6="-","-",LOOKUP($B6,'Graphique Evolution et Pyramide'!$E$81:$V$81,'Graphique Evolution et Pyramide'!$E$86:$V$86))</f>
        <v>-</v>
      </c>
    </row>
    <row r="7" spans="2:7" x14ac:dyDescent="0.25">
      <c r="B7" s="71" t="str">
        <f>IF('Hypothèses et Graphiques'!$C$8&gt;=2030,2030,"-")</f>
        <v>-</v>
      </c>
      <c r="C7" s="78" t="str">
        <f>IF($B7="-","-",LOOKUP($B7,'Graphique Evolution et Pyramide'!$E$81:$V$81,'Graphique Evolution et Pyramide'!$E$82:$V$82))</f>
        <v>-</v>
      </c>
      <c r="D7" s="73" t="str">
        <f>IF($B7="-","-",LOOKUP($B7,'Graphique Evolution et Pyramide'!$E$81:$V$81,'Graphique Evolution et Pyramide'!$E$83:$V$83))</f>
        <v>-</v>
      </c>
      <c r="E7" s="73" t="str">
        <f>IF($B7="-","-",LOOKUP($B7,'Graphique Evolution et Pyramide'!$E$81:$V$81,'Graphique Evolution et Pyramide'!$E$84:$V$84))</f>
        <v>-</v>
      </c>
      <c r="F7" s="73" t="str">
        <f>IF($B7="-","-",LOOKUP($B7,'Graphique Evolution et Pyramide'!$E$81:$V$81,'Graphique Evolution et Pyramide'!$E$85:$V$85))</f>
        <v>-</v>
      </c>
      <c r="G7" s="79" t="str">
        <f>IF($B7="-","-",LOOKUP($B7,'Graphique Evolution et Pyramide'!$E$81:$V$81,'Graphique Evolution et Pyramide'!$E$86:$V$86))</f>
        <v>-</v>
      </c>
    </row>
    <row r="8" spans="2:7" x14ac:dyDescent="0.25">
      <c r="B8" s="71" t="str">
        <f>IF('Hypothèses et Graphiques'!$C$8&gt;=2035,2035,"-")</f>
        <v>-</v>
      </c>
      <c r="C8" s="78" t="str">
        <f>IF($B8="-","-",LOOKUP($B8,'Graphique Evolution et Pyramide'!$E$81:$V$81,'Graphique Evolution et Pyramide'!$E$82:$V$82))</f>
        <v>-</v>
      </c>
      <c r="D8" s="73" t="str">
        <f>IF($B8="-","-",LOOKUP($B8,'Graphique Evolution et Pyramide'!$E$81:$V$81,'Graphique Evolution et Pyramide'!$E$83:$V$83))</f>
        <v>-</v>
      </c>
      <c r="E8" s="73" t="str">
        <f>IF($B8="-","-",LOOKUP($B8,'Graphique Evolution et Pyramide'!$E$81:$V$81,'Graphique Evolution et Pyramide'!$E$84:$V$84))</f>
        <v>-</v>
      </c>
      <c r="F8" s="73" t="str">
        <f>IF($B8="-","-",LOOKUP($B8,'Graphique Evolution et Pyramide'!$E$81:$V$81,'Graphique Evolution et Pyramide'!$E$85:$V$85))</f>
        <v>-</v>
      </c>
      <c r="G8" s="79" t="str">
        <f>IF($B8="-","-",LOOKUP($B8,'Graphique Evolution et Pyramide'!$E$81:$V$81,'Graphique Evolution et Pyramide'!$E$86:$V$86))</f>
        <v>-</v>
      </c>
    </row>
    <row r="9" spans="2:7" x14ac:dyDescent="0.25">
      <c r="B9" s="71" t="str">
        <f>IF('Hypothèses et Graphiques'!$C$8&gt;=2040,2040,"-")</f>
        <v>-</v>
      </c>
      <c r="C9" s="78" t="str">
        <f>IF($B9="-","-",LOOKUP($B9,'Graphique Evolution et Pyramide'!$E$81:$V$81,'Graphique Evolution et Pyramide'!$E$82:$V$82))</f>
        <v>-</v>
      </c>
      <c r="D9" s="73" t="str">
        <f>IF($B9="-","-",LOOKUP($B9,'Graphique Evolution et Pyramide'!$E$81:$V$81,'Graphique Evolution et Pyramide'!$E$83:$V$83))</f>
        <v>-</v>
      </c>
      <c r="E9" s="73" t="str">
        <f>IF($B9="-","-",LOOKUP($B9,'Graphique Evolution et Pyramide'!$E$81:$V$81,'Graphique Evolution et Pyramide'!$E$84:$V$84))</f>
        <v>-</v>
      </c>
      <c r="F9" s="73" t="str">
        <f>IF($B9="-","-",LOOKUP($B9,'Graphique Evolution et Pyramide'!$E$81:$V$81,'Graphique Evolution et Pyramide'!$E$85:$V$85))</f>
        <v>-</v>
      </c>
      <c r="G9" s="79" t="str">
        <f>IF($B9="-","-",LOOKUP($B9,'Graphique Evolution et Pyramide'!$E$81:$V$81,'Graphique Evolution et Pyramide'!$E$86:$V$86))</f>
        <v>-</v>
      </c>
    </row>
    <row r="10" spans="2:7" x14ac:dyDescent="0.25">
      <c r="B10" s="71" t="str">
        <f>IF('Hypothèses et Graphiques'!$C$8&gt;=2045,2045,"-")</f>
        <v>-</v>
      </c>
      <c r="C10" s="78" t="str">
        <f>IF($B10="-","-",LOOKUP($B10,'Graphique Evolution et Pyramide'!$E$81:$V$81,'Graphique Evolution et Pyramide'!$E$82:$V$82))</f>
        <v>-</v>
      </c>
      <c r="D10" s="73" t="str">
        <f>IF($B10="-","-",LOOKUP($B10,'Graphique Evolution et Pyramide'!$E$81:$V$81,'Graphique Evolution et Pyramide'!$E$83:$V$83))</f>
        <v>-</v>
      </c>
      <c r="E10" s="73" t="str">
        <f>IF($B10="-","-",LOOKUP($B10,'Graphique Evolution et Pyramide'!$E$81:$V$81,'Graphique Evolution et Pyramide'!$E$84:$V$84))</f>
        <v>-</v>
      </c>
      <c r="F10" s="73" t="str">
        <f>IF($B10="-","-",LOOKUP($B10,'Graphique Evolution et Pyramide'!$E$81:$V$81,'Graphique Evolution et Pyramide'!$E$85:$V$85))</f>
        <v>-</v>
      </c>
      <c r="G10" s="79" t="str">
        <f>IF($B10="-","-",LOOKUP($B10,'Graphique Evolution et Pyramide'!$E$81:$V$81,'Graphique Evolution et Pyramide'!$E$86:$V$86))</f>
        <v>-</v>
      </c>
    </row>
    <row r="11" spans="2:7" x14ac:dyDescent="0.25">
      <c r="B11" s="71" t="str">
        <f>IF('Hypothèses et Graphiques'!$C$8&gt;=2050,2050,"-")</f>
        <v>-</v>
      </c>
      <c r="C11" s="78" t="str">
        <f>IF($B11="-","-",LOOKUP($B11,'Graphique Evolution et Pyramide'!$E$81:$V$81,'Graphique Evolution et Pyramide'!$E$82:$V$82))</f>
        <v>-</v>
      </c>
      <c r="D11" s="73" t="str">
        <f>IF($B11="-","-",LOOKUP($B11,'Graphique Evolution et Pyramide'!$E$81:$V$81,'Graphique Evolution et Pyramide'!$E$83:$V$83))</f>
        <v>-</v>
      </c>
      <c r="E11" s="73" t="str">
        <f>IF($B11="-","-",LOOKUP($B11,'Graphique Evolution et Pyramide'!$E$81:$V$81,'Graphique Evolution et Pyramide'!$E$84:$V$84))</f>
        <v>-</v>
      </c>
      <c r="F11" s="73" t="str">
        <f>IF($B11="-","-",LOOKUP($B11,'Graphique Evolution et Pyramide'!$E$81:$V$81,'Graphique Evolution et Pyramide'!$E$85:$V$85))</f>
        <v>-</v>
      </c>
      <c r="G11" s="79" t="str">
        <f>IF($B11="-","-",LOOKUP($B11,'Graphique Evolution et Pyramide'!$E$81:$V$81,'Graphique Evolution et Pyramide'!$E$86:$V$86))</f>
        <v>-</v>
      </c>
    </row>
    <row r="12" spans="2:7" x14ac:dyDescent="0.25">
      <c r="B12" s="71" t="str">
        <f>IF('Hypothèses et Graphiques'!$C$8&gt;=2055,2055,"-")</f>
        <v>-</v>
      </c>
      <c r="C12" s="78" t="str">
        <f>IF($B12="-","-",LOOKUP($B12,'Graphique Evolution et Pyramide'!$E$81:$V$81,'Graphique Evolution et Pyramide'!$E$82:$V$82))</f>
        <v>-</v>
      </c>
      <c r="D12" s="73" t="str">
        <f>IF($B12="-","-",LOOKUP($B12,'Graphique Evolution et Pyramide'!$E$81:$V$81,'Graphique Evolution et Pyramide'!$E$83:$V$83))</f>
        <v>-</v>
      </c>
      <c r="E12" s="73" t="str">
        <f>IF($B12="-","-",LOOKUP($B12,'Graphique Evolution et Pyramide'!$E$81:$V$81,'Graphique Evolution et Pyramide'!$E$84:$V$84))</f>
        <v>-</v>
      </c>
      <c r="F12" s="73" t="str">
        <f>IF($B12="-","-",LOOKUP($B12,'Graphique Evolution et Pyramide'!$E$81:$V$81,'Graphique Evolution et Pyramide'!$E$85:$V$85))</f>
        <v>-</v>
      </c>
      <c r="G12" s="79" t="str">
        <f>IF($B12="-","-",LOOKUP($B12,'Graphique Evolution et Pyramide'!$E$81:$V$81,'Graphique Evolution et Pyramide'!$E$86:$V$86))</f>
        <v>-</v>
      </c>
    </row>
    <row r="13" spans="2:7" x14ac:dyDescent="0.25">
      <c r="B13" s="71" t="str">
        <f>IF('Hypothèses et Graphiques'!$C$8&gt;=2060,2060,"-")</f>
        <v>-</v>
      </c>
      <c r="C13" s="78" t="str">
        <f>IF($B13="-","-",LOOKUP($B13,'Graphique Evolution et Pyramide'!$E$81:$V$81,'Graphique Evolution et Pyramide'!$E$82:$V$82))</f>
        <v>-</v>
      </c>
      <c r="D13" s="73" t="str">
        <f>IF($B13="-","-",LOOKUP($B13,'Graphique Evolution et Pyramide'!$E$81:$V$81,'Graphique Evolution et Pyramide'!$E$83:$V$83))</f>
        <v>-</v>
      </c>
      <c r="E13" s="73" t="str">
        <f>IF($B13="-","-",LOOKUP($B13,'Graphique Evolution et Pyramide'!$E$81:$V$81,'Graphique Evolution et Pyramide'!$E$84:$V$84))</f>
        <v>-</v>
      </c>
      <c r="F13" s="73" t="str">
        <f>IF($B13="-","-",LOOKUP($B13,'Graphique Evolution et Pyramide'!$E$81:$V$81,'Graphique Evolution et Pyramide'!$E$85:$V$85))</f>
        <v>-</v>
      </c>
      <c r="G13" s="79" t="str">
        <f>IF($B13="-","-",LOOKUP($B13,'Graphique Evolution et Pyramide'!$E$81:$V$81,'Graphique Evolution et Pyramide'!$E$86:$V$86))</f>
        <v>-</v>
      </c>
    </row>
    <row r="14" spans="2:7" x14ac:dyDescent="0.25">
      <c r="B14" s="71" t="str">
        <f>IF('Hypothèses et Graphiques'!$C$8&gt;=2065,2065,"-")</f>
        <v>-</v>
      </c>
      <c r="C14" s="78" t="str">
        <f>IF($B14="-","-",LOOKUP($B14,'Graphique Evolution et Pyramide'!$E$81:$V$81,'Graphique Evolution et Pyramide'!$E$82:$V$82))</f>
        <v>-</v>
      </c>
      <c r="D14" s="73" t="str">
        <f>IF($B14="-","-",LOOKUP($B14,'Graphique Evolution et Pyramide'!$E$81:$V$81,'Graphique Evolution et Pyramide'!$E$83:$V$83))</f>
        <v>-</v>
      </c>
      <c r="E14" s="73" t="str">
        <f>IF($B14="-","-",LOOKUP($B14,'Graphique Evolution et Pyramide'!$E$81:$V$81,'Graphique Evolution et Pyramide'!$E$84:$V$84))</f>
        <v>-</v>
      </c>
      <c r="F14" s="73" t="str">
        <f>IF($B14="-","-",LOOKUP($B14,'Graphique Evolution et Pyramide'!$E$81:$V$81,'Graphique Evolution et Pyramide'!$E$85:$V$85))</f>
        <v>-</v>
      </c>
      <c r="G14" s="79" t="str">
        <f>IF($B14="-","-",LOOKUP($B14,'Graphique Evolution et Pyramide'!$E$81:$V$81,'Graphique Evolution et Pyramide'!$E$86:$V$86))</f>
        <v>-</v>
      </c>
    </row>
    <row r="15" spans="2:7" x14ac:dyDescent="0.25">
      <c r="B15" s="71" t="str">
        <f>IF('Hypothèses et Graphiques'!$C$8&gt;=2070,2070,"-")</f>
        <v>-</v>
      </c>
      <c r="C15" s="78" t="str">
        <f>IF($B15="-","-",LOOKUP($B15,'Graphique Evolution et Pyramide'!$E$81:$V$81,'Graphique Evolution et Pyramide'!$E$82:$V$82))</f>
        <v>-</v>
      </c>
      <c r="D15" s="73" t="str">
        <f>IF($B15="-","-",LOOKUP($B15,'Graphique Evolution et Pyramide'!$E$81:$V$81,'Graphique Evolution et Pyramide'!$E$83:$V$83))</f>
        <v>-</v>
      </c>
      <c r="E15" s="73" t="str">
        <f>IF($B15="-","-",LOOKUP($B15,'Graphique Evolution et Pyramide'!$E$81:$V$81,'Graphique Evolution et Pyramide'!$E$84:$V$84))</f>
        <v>-</v>
      </c>
      <c r="F15" s="73" t="str">
        <f>IF($B15="-","-",LOOKUP($B15,'Graphique Evolution et Pyramide'!$E$81:$V$81,'Graphique Evolution et Pyramide'!$E$85:$V$85))</f>
        <v>-</v>
      </c>
      <c r="G15" s="79" t="str">
        <f>IF($B15="-","-",LOOKUP($B15,'Graphique Evolution et Pyramide'!$E$81:$V$81,'Graphique Evolution et Pyramide'!$E$86:$V$86))</f>
        <v>-</v>
      </c>
    </row>
    <row r="16" spans="2:7" x14ac:dyDescent="0.25">
      <c r="B16" s="71" t="str">
        <f>IF('Hypothèses et Graphiques'!$C$8&gt;=2075,2075,"-")</f>
        <v>-</v>
      </c>
      <c r="C16" s="78" t="str">
        <f>IF($B16="-","-",LOOKUP($B16,'Graphique Evolution et Pyramide'!$E$81:$V$81,'Graphique Evolution et Pyramide'!$E$82:$V$82))</f>
        <v>-</v>
      </c>
      <c r="D16" s="73" t="str">
        <f>IF($B16="-","-",LOOKUP($B16,'Graphique Evolution et Pyramide'!$E$81:$V$81,'Graphique Evolution et Pyramide'!$E$83:$V$83))</f>
        <v>-</v>
      </c>
      <c r="E16" s="73" t="str">
        <f>IF($B16="-","-",LOOKUP($B16,'Graphique Evolution et Pyramide'!$E$81:$V$81,'Graphique Evolution et Pyramide'!$E$84:$V$84))</f>
        <v>-</v>
      </c>
      <c r="F16" s="73" t="str">
        <f>IF($B16="-","-",LOOKUP($B16,'Graphique Evolution et Pyramide'!$E$81:$V$81,'Graphique Evolution et Pyramide'!$E$85:$V$85))</f>
        <v>-</v>
      </c>
      <c r="G16" s="79" t="str">
        <f>IF($B16="-","-",LOOKUP($B16,'Graphique Evolution et Pyramide'!$E$81:$V$81,'Graphique Evolution et Pyramide'!$E$86:$V$86))</f>
        <v>-</v>
      </c>
    </row>
    <row r="17" spans="2:7" x14ac:dyDescent="0.25">
      <c r="B17" s="71" t="str">
        <f>IF('Hypothèses et Graphiques'!$C$8&gt;=2080,2080,"-")</f>
        <v>-</v>
      </c>
      <c r="C17" s="78" t="str">
        <f>IF($B17="-","-",LOOKUP($B17,'Graphique Evolution et Pyramide'!$E$81:$V$81,'Graphique Evolution et Pyramide'!$E$82:$V$82))</f>
        <v>-</v>
      </c>
      <c r="D17" s="73" t="str">
        <f>IF($B17="-","-",LOOKUP($B17,'Graphique Evolution et Pyramide'!$E$81:$V$81,'Graphique Evolution et Pyramide'!$E$83:$V$83))</f>
        <v>-</v>
      </c>
      <c r="E17" s="73" t="str">
        <f>IF($B17="-","-",LOOKUP($B17,'Graphique Evolution et Pyramide'!$E$81:$V$81,'Graphique Evolution et Pyramide'!$E$84:$V$84))</f>
        <v>-</v>
      </c>
      <c r="F17" s="73" t="str">
        <f>IF($B17="-","-",LOOKUP($B17,'Graphique Evolution et Pyramide'!$E$81:$V$81,'Graphique Evolution et Pyramide'!$E$85:$V$85))</f>
        <v>-</v>
      </c>
      <c r="G17" s="79" t="str">
        <f>IF($B17="-","-",LOOKUP($B17,'Graphique Evolution et Pyramide'!$E$81:$V$81,'Graphique Evolution et Pyramide'!$E$86:$V$86))</f>
        <v>-</v>
      </c>
    </row>
    <row r="18" spans="2:7" x14ac:dyDescent="0.25">
      <c r="B18" s="71" t="str">
        <f>IF('Hypothèses et Graphiques'!$C$8&gt;=2085,2085,"-")</f>
        <v>-</v>
      </c>
      <c r="C18" s="78" t="str">
        <f>IF($B18="-","-",LOOKUP($B18,'Graphique Evolution et Pyramide'!$E$81:$V$81,'Graphique Evolution et Pyramide'!$E$82:$V$82))</f>
        <v>-</v>
      </c>
      <c r="D18" s="73" t="str">
        <f>IF($B18="-","-",LOOKUP($B18,'Graphique Evolution et Pyramide'!$E$81:$V$81,'Graphique Evolution et Pyramide'!$E$83:$V$83))</f>
        <v>-</v>
      </c>
      <c r="E18" s="73" t="str">
        <f>IF($B18="-","-",LOOKUP($B18,'Graphique Evolution et Pyramide'!$E$81:$V$81,'Graphique Evolution et Pyramide'!$E$84:$V$84))</f>
        <v>-</v>
      </c>
      <c r="F18" s="73" t="str">
        <f>IF($B18="-","-",LOOKUP($B18,'Graphique Evolution et Pyramide'!$E$81:$V$81,'Graphique Evolution et Pyramide'!$E$85:$V$85))</f>
        <v>-</v>
      </c>
      <c r="G18" s="79" t="str">
        <f>IF($B18="-","-",LOOKUP($B18,'Graphique Evolution et Pyramide'!$E$81:$V$81,'Graphique Evolution et Pyramide'!$E$86:$V$86))</f>
        <v>-</v>
      </c>
    </row>
    <row r="19" spans="2:7" x14ac:dyDescent="0.25">
      <c r="B19" s="71" t="str">
        <f>IF('Hypothèses et Graphiques'!$C$8&gt;=2090,2090,"-")</f>
        <v>-</v>
      </c>
      <c r="C19" s="78" t="str">
        <f>IF($B19="-","-",LOOKUP($B19,'Graphique Evolution et Pyramide'!$E$81:$V$81,'Graphique Evolution et Pyramide'!$E$82:$V$82))</f>
        <v>-</v>
      </c>
      <c r="D19" s="73" t="str">
        <f>IF($B19="-","-",LOOKUP($B19,'Graphique Evolution et Pyramide'!$E$81:$V$81,'Graphique Evolution et Pyramide'!$E$83:$V$83))</f>
        <v>-</v>
      </c>
      <c r="E19" s="73" t="str">
        <f>IF($B19="-","-",LOOKUP($B19,'Graphique Evolution et Pyramide'!$E$81:$V$81,'Graphique Evolution et Pyramide'!$E$84:$V$84))</f>
        <v>-</v>
      </c>
      <c r="F19" s="73" t="str">
        <f>IF($B19="-","-",LOOKUP($B19,'Graphique Evolution et Pyramide'!$E$81:$V$81,'Graphique Evolution et Pyramide'!$E$85:$V$85))</f>
        <v>-</v>
      </c>
      <c r="G19" s="79" t="str">
        <f>IF($B19="-","-",LOOKUP($B19,'Graphique Evolution et Pyramide'!$E$81:$V$81,'Graphique Evolution et Pyramide'!$E$86:$V$86))</f>
        <v>-</v>
      </c>
    </row>
    <row r="20" spans="2:7" x14ac:dyDescent="0.25">
      <c r="B20" s="71" t="str">
        <f>IF('Hypothèses et Graphiques'!$C$8&gt;=2095,2095,"-")</f>
        <v>-</v>
      </c>
      <c r="C20" s="78" t="str">
        <f>IF($B20="-","-",LOOKUP($B20,'Graphique Evolution et Pyramide'!$E$81:$V$81,'Graphique Evolution et Pyramide'!$E$82:$V$82))</f>
        <v>-</v>
      </c>
      <c r="D20" s="73" t="str">
        <f>IF($B20="-","-",LOOKUP($B20,'Graphique Evolution et Pyramide'!$E$81:$V$81,'Graphique Evolution et Pyramide'!$E$83:$V$83))</f>
        <v>-</v>
      </c>
      <c r="E20" s="73" t="str">
        <f>IF($B20="-","-",LOOKUP($B20,'Graphique Evolution et Pyramide'!$E$81:$V$81,'Graphique Evolution et Pyramide'!$E$84:$V$84))</f>
        <v>-</v>
      </c>
      <c r="F20" s="73" t="str">
        <f>IF($B20="-","-",LOOKUP($B20,'Graphique Evolution et Pyramide'!$E$81:$V$81,'Graphique Evolution et Pyramide'!$E$85:$V$85))</f>
        <v>-</v>
      </c>
      <c r="G20" s="79" t="str">
        <f>IF($B20="-","-",LOOKUP($B20,'Graphique Evolution et Pyramide'!$E$81:$V$81,'Graphique Evolution et Pyramide'!$E$86:$V$86))</f>
        <v>-</v>
      </c>
    </row>
    <row r="21" spans="2:7" ht="14.4" thickBot="1" x14ac:dyDescent="0.3">
      <c r="B21" s="72" t="str">
        <f>IF('Hypothèses et Graphiques'!$C$8&gt;=2100,2100,"-")</f>
        <v>-</v>
      </c>
      <c r="C21" s="80" t="str">
        <f>IF($B21="-","-",LOOKUP($B21,'Graphique Evolution et Pyramide'!$E$81:$V$81,'Graphique Evolution et Pyramide'!$E$82:$V$82))</f>
        <v>-</v>
      </c>
      <c r="D21" s="74" t="str">
        <f>IF($B21="-","-",LOOKUP($B21,'Graphique Evolution et Pyramide'!$E$81:$V$81,'Graphique Evolution et Pyramide'!$E$83:$V$83))</f>
        <v>-</v>
      </c>
      <c r="E21" s="74" t="str">
        <f>IF($B21="-","-",LOOKUP($B21,'Graphique Evolution et Pyramide'!$E$81:$V$81,'Graphique Evolution et Pyramide'!$E$84:$V$84))</f>
        <v>-</v>
      </c>
      <c r="F21" s="74" t="str">
        <f>IF($B21="-","-",LOOKUP($B21,'Graphique Evolution et Pyramide'!$E$81:$V$81,'Graphique Evolution et Pyramide'!$E$85:$V$85))</f>
        <v>-</v>
      </c>
      <c r="G21" s="81" t="str">
        <f>IF($B21="-","-",LOOKUP($B21,'Graphique Evolution et Pyramide'!$E$81:$V$81,'Graphique Evolution et Pyramide'!$E$86:$V$86))</f>
        <v>-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SNB Document DOX" ma:contentTypeID="0x010100593093B082FB11DC83140800200C9A6601007F9739D73A6DF54F9F43ED7A0904E3C3" ma:contentTypeVersion="3" ma:contentTypeDescription="Dieser Content Type basiert auf dem Nukleus und definiert den Content Type für die Dox-Bibliothek" ma:contentTypeScope="" ma:versionID="0ccd9ca58bc5138f61abcbb65c1f6e96">
  <xsd:schema xmlns:xsd="http://www.w3.org/2001/XMLSchema" xmlns:xs="http://www.w3.org/2001/XMLSchema" xmlns:p="http://schemas.microsoft.com/office/2006/metadata/properties" xmlns:ns1="http://schemas.microsoft.com/sharepoint/v3" xmlns:ns2="87e956d4-aa1c-4e1c-a1ae-187fc68160c5" xmlns:ns3="http://schemas.microsoft.com/sharepoint/v3/fields" targetNamespace="http://schemas.microsoft.com/office/2006/metadata/properties" ma:root="true" ma:fieldsID="33c0e4907d6df15ff8466e5558891b29" ns1:_="" ns2:_="" ns3:_="">
    <xsd:import namespace="http://schemas.microsoft.com/sharepoint/v3"/>
    <xsd:import namespace="87e956d4-aa1c-4e1c-a1ae-187fc68160c5"/>
    <xsd:import namespace="http://schemas.microsoft.com/sharepoint/v3/fields"/>
    <xsd:element name="properties">
      <xsd:complexType>
        <xsd:sequence>
          <xsd:element name="documentManagement">
            <xsd:complexType>
              <xsd:all>
                <xsd:element ref="ns2:Dokumentart" minOccurs="0"/>
                <xsd:element ref="ns1:SNBDescription" minOccurs="0"/>
                <xsd:element ref="ns1:SNBContext" minOccurs="0"/>
                <xsd:element ref="ns1:SNBAuthor" minOccurs="0"/>
                <xsd:element ref="ns3:SNBDate" minOccurs="0"/>
                <xsd:element ref="ns1:Confidentialit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SNBDescription" ma:index="3" nillable="true" ma:displayName="SNBDescription" ma:internalName="SNBDescription">
      <xsd:simpleType>
        <xsd:restriction base="dms:Note">
          <xsd:maxLength value="255"/>
        </xsd:restriction>
      </xsd:simpleType>
    </xsd:element>
    <xsd:element name="SNBContext" ma:index="4" nillable="true" ma:displayName="SNBContext" ma:internalName="SNBContext">
      <xsd:simpleType>
        <xsd:restriction base="dms:Text"/>
      </xsd:simpleType>
    </xsd:element>
    <xsd:element name="SNBAuthor" ma:index="5" nillable="true" ma:displayName="SNBAuthor" ma:internalName="SNBAuthor">
      <xsd:simpleType>
        <xsd:restriction base="dms:Text"/>
      </xsd:simpleType>
    </xsd:element>
    <xsd:element name="Confidentiality" ma:index="8" nillable="true" ma:displayName="Confidentiality" ma:default="2-internal" ma:internalName="Confidentiality">
      <xsd:simpleType>
        <xsd:restriction base="dms:Choice">
          <xsd:enumeration value="1-public"/>
          <xsd:enumeration value="2-internal"/>
          <xsd:enumeration value="3-confidential"/>
          <xsd:enumeration value="4-secret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7e956d4-aa1c-4e1c-a1ae-187fc68160c5" elementFormDefault="qualified">
    <xsd:import namespace="http://schemas.microsoft.com/office/2006/documentManagement/types"/>
    <xsd:import namespace="http://schemas.microsoft.com/office/infopath/2007/PartnerControls"/>
    <xsd:element name="Dokumentart" ma:index="2" nillable="true" ma:displayName="Dokumentart" ma:list="{7b5800a3-bb3c-4f8f-b355-699f7c08c6b1}" ma:internalName="Dokumentart" ma:showField="Title">
      <xsd:simpleType>
        <xsd:restriction base="dms:Lookup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/fields" elementFormDefault="qualified">
    <xsd:import namespace="http://schemas.microsoft.com/office/2006/documentManagement/types"/>
    <xsd:import namespace="http://schemas.microsoft.com/office/infopath/2007/PartnerControls"/>
    <xsd:element name="SNBDate" ma:index="6" nillable="true" ma:displayName="SNBDate" ma:default="[today]" ma:format="DateOnly" ma:internalName="SNBDate">
      <xsd:simpleType>
        <xsd:restriction base="dms:DateTim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0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Confidentiality xmlns="http://schemas.microsoft.com/sharepoint/v3">2-internal</Confidentiality>
    <Dokumentart xmlns="87e956d4-aa1c-4e1c-a1ae-187fc68160c5" xsi:nil="true"/>
    <SNBDate xmlns="http://schemas.microsoft.com/sharepoint/v3/fields">2017-06-16T12:27:33+00:00</SNBDate>
    <SNBContext xmlns="http://schemas.microsoft.com/sharepoint/v3" xsi:nil="true"/>
    <SNBDescription xmlns="http://schemas.microsoft.com/sharepoint/v3" xsi:nil="true"/>
    <SNBAuthor xmlns="http://schemas.microsoft.com/sharepoint/v3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?mso-contentType ?>
<customXsn xmlns="http://schemas.microsoft.com/office/2006/metadata/customXsn">
  <xsnLocation/>
  <cached>True</cached>
  <openByDefault>True</openByDefault>
  <xsnScope/>
</customXsn>
</file>

<file path=customXml/itemProps1.xml><?xml version="1.0" encoding="utf-8"?>
<ds:datastoreItem xmlns:ds="http://schemas.openxmlformats.org/officeDocument/2006/customXml" ds:itemID="{8BF909B5-096F-45D7-B212-7C492586B36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87e956d4-aa1c-4e1c-a1ae-187fc68160c5"/>
    <ds:schemaRef ds:uri="http://schemas.microsoft.com/sharepoint/v3/fields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22144B93-24D2-4FB3-910A-655AD0AFDF1D}">
  <ds:schemaRefs>
    <ds:schemaRef ds:uri="http://purl.org/dc/terms/"/>
    <ds:schemaRef ds:uri="http://schemas.microsoft.com/office/2006/metadata/properties"/>
    <ds:schemaRef ds:uri="http://www.w3.org/XML/1998/namespace"/>
    <ds:schemaRef ds:uri="http://schemas.microsoft.com/sharepoint/v3"/>
    <ds:schemaRef ds:uri="http://purl.org/dc/elements/1.1/"/>
    <ds:schemaRef ds:uri="http://schemas.microsoft.com/office/infopath/2007/PartnerControls"/>
    <ds:schemaRef ds:uri="http://schemas.microsoft.com/office/2006/documentManagement/types"/>
    <ds:schemaRef ds:uri="http://schemas.openxmlformats.org/package/2006/metadata/core-properties"/>
    <ds:schemaRef ds:uri="http://schemas.microsoft.com/sharepoint/v3/fields"/>
    <ds:schemaRef ds:uri="87e956d4-aa1c-4e1c-a1ae-187fc68160c5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EB4C8F79-1248-4572-9E27-2770FA202541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D2802E7C-C96B-4147-A95F-2F99181C20A1}">
  <ds:schemaRefs>
    <ds:schemaRef ds:uri="http://schemas.microsoft.com/office/2006/metadata/customXs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14</vt:i4>
      </vt:variant>
    </vt:vector>
  </HeadingPairs>
  <TitlesOfParts>
    <vt:vector size="14" baseType="lpstr">
      <vt:lpstr>Mode d'emploi</vt:lpstr>
      <vt:lpstr>Hypothèses et Graphiques</vt:lpstr>
      <vt:lpstr>Résultats et Indicateurs</vt:lpstr>
      <vt:lpstr>Population</vt:lpstr>
      <vt:lpstr>Fécondité</vt:lpstr>
      <vt:lpstr>Mortalité</vt:lpstr>
      <vt:lpstr>Migration</vt:lpstr>
      <vt:lpstr>Liste Taux Fécondité</vt:lpstr>
      <vt:lpstr>Liste quot persp Mortalité Hom</vt:lpstr>
      <vt:lpstr>Liste quot persp Mortalité Fem</vt:lpstr>
      <vt:lpstr>Liste solde migratoire Hom</vt:lpstr>
      <vt:lpstr>Liste solde migratoire Fem</vt:lpstr>
      <vt:lpstr>Graphique Evolution et Pyramide</vt:lpstr>
      <vt:lpstr>Graphique Indicateurs</vt:lpstr>
    </vt:vector>
  </TitlesOfParts>
  <Company>Bundesverwaltung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Kohli Raymond BFS</dc:creator>
  <cp:lastModifiedBy>Waser Daniela</cp:lastModifiedBy>
  <dcterms:created xsi:type="dcterms:W3CDTF">2016-10-21T14:06:10Z</dcterms:created>
  <dcterms:modified xsi:type="dcterms:W3CDTF">2021-09-27T10:17:00Z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0x010100593093B082FB11DC83140800200C9A6601007F9739D73A6DF54F9F43ED7A0904E3C3</vt:lpwstr>
  </property>
</Properties>
</file>